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Q:\VIb\1_Gruppen\TEAM\Heimberger\Werte und Tabellen\Tschuffer\"/>
    </mc:Choice>
  </mc:AlternateContent>
  <bookViews>
    <workbookView showSheetTabs="0" xWindow="0" yWindow="0" windowWidth="23040" windowHeight="8040" tabRatio="907"/>
  </bookViews>
  <sheets>
    <sheet name="Info &amp; Navigation" sheetId="36" r:id="rId1"/>
    <sheet name="Internetfenster 1" sheetId="8" r:id="rId2"/>
    <sheet name="Internetfenster 2" sheetId="9" r:id="rId3"/>
    <sheet name="Pacht" sheetId="34" r:id="rId4"/>
    <sheet name="Beiträge aus EHW" sheetId="12" r:id="rId5"/>
    <sheet name="EHW" sheetId="25" r:id="rId6"/>
    <sheet name="EHW-Änderungen" sheetId="22" r:id="rId7"/>
    <sheet name="Öffentliche Gelder" sheetId="35" r:id="rId8"/>
    <sheet name="Beiträge NT" sheetId="17" r:id="rId9"/>
    <sheet name="Mindest-BTG" sheetId="21" r:id="rId10"/>
    <sheet name="Höchst-BTG" sheetId="20" r:id="rId11"/>
    <sheet name="Kleine Option" sheetId="28" r:id="rId12"/>
    <sheet name="BTG-Option" sheetId="15" r:id="rId13"/>
    <sheet name="BTG und Beitragssatz" sheetId="18" r:id="rId14"/>
    <sheet name="Betriebsbeitrag" sheetId="14" r:id="rId15"/>
    <sheet name="Angehörige" sheetId="33" r:id="rId16"/>
    <sheet name="                               " sheetId="7" r:id="rId17"/>
    <sheet name="Bedienungsanleitungen" sheetId="37" r:id="rId18"/>
    <sheet name="Info Texte" sheetId="38" r:id="rId19"/>
    <sheet name="Beitragsberechnung" sheetId="4" r:id="rId20"/>
    <sheet name="Verknüpfungen 1" sheetId="3" r:id="rId21"/>
    <sheet name="Verknüpfungen 2" sheetId="6" r:id="rId22"/>
    <sheet name="Berechnung 1" sheetId="2" r:id="rId23"/>
    <sheet name="Berechnung 2" sheetId="5" r:id="rId24"/>
    <sheet name="Wertedatenbank" sheetId="1" r:id="rId25"/>
  </sheets>
  <definedNames>
    <definedName name="_xlnm.Print_Area" localSheetId="15">Angehörige!$B$1:$L$35</definedName>
    <definedName name="_xlnm.Print_Area" localSheetId="4">'Beiträge aus EHW'!$B$1:$P$36</definedName>
    <definedName name="_xlnm.Print_Area" localSheetId="8">'Beiträge NT'!$B$1:$M$35</definedName>
    <definedName name="_xlnm.Print_Area" localSheetId="14">Betriebsbeitrag!$B$1:$L$35</definedName>
    <definedName name="_xlnm.Print_Area" localSheetId="13">'BTG und Beitragssatz'!$B$1:$L$35</definedName>
    <definedName name="_xlnm.Print_Area" localSheetId="12">'BTG-Option'!$B$1:$I$37</definedName>
    <definedName name="_xlnm.Print_Area" localSheetId="5">EHW!$B$1:$K$40</definedName>
    <definedName name="_xlnm.Print_Area" localSheetId="6">'EHW-Änderungen'!$B$1:$J$36</definedName>
    <definedName name="_xlnm.Print_Area" localSheetId="10">'Höchst-BTG'!$B$1:$J$36</definedName>
    <definedName name="_xlnm.Print_Area" localSheetId="1">'Internetfenster 1'!$B$2:$S$37</definedName>
    <definedName name="_xlnm.Print_Area" localSheetId="2">'Internetfenster 2'!$B$2:$S$42</definedName>
    <definedName name="_xlnm.Print_Area" localSheetId="11">'Kleine Option'!$B$1:$I$34</definedName>
    <definedName name="_xlnm.Print_Area" localSheetId="9">'Mindest-BTG'!$B$1:$J$34</definedName>
    <definedName name="_xlnm.Print_Area" localSheetId="3">Pacht!$B$5:$O$40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35" i="37" l="1"/>
  <c r="BE1" i="34" s="1"/>
  <c r="AB36" i="37"/>
  <c r="AY1" i="9" s="1"/>
  <c r="Z36" i="37"/>
  <c r="W27" i="9" s="1"/>
  <c r="X36" i="37"/>
  <c r="W23" i="9" s="1"/>
  <c r="V36" i="37"/>
  <c r="W19" i="9" s="1"/>
  <c r="AB35" i="37"/>
  <c r="Z35" i="37"/>
  <c r="X35" i="37"/>
  <c r="V35" i="37"/>
  <c r="T36" i="37"/>
  <c r="W15" i="9" s="1"/>
  <c r="R36" i="37"/>
  <c r="W11" i="9" s="1"/>
  <c r="P36" i="37"/>
  <c r="W8" i="9" s="1"/>
  <c r="P35" i="37"/>
  <c r="T35" i="37"/>
  <c r="R35" i="37"/>
  <c r="X4" i="8"/>
  <c r="X5" i="8"/>
  <c r="AL2" i="8"/>
  <c r="X3" i="8" s="1"/>
  <c r="AL1" i="8"/>
  <c r="Q2" i="38"/>
  <c r="P2" i="38"/>
  <c r="O2" i="38"/>
  <c r="N2" i="38"/>
  <c r="M2" i="38"/>
  <c r="L2" i="38"/>
  <c r="K2" i="38"/>
  <c r="J2" i="38"/>
  <c r="I2" i="38"/>
  <c r="H2" i="38"/>
  <c r="G2" i="38"/>
  <c r="F2" i="38"/>
  <c r="E2" i="38"/>
  <c r="D2" i="38"/>
  <c r="C2" i="38"/>
  <c r="B2" i="38"/>
  <c r="Q4" i="38"/>
  <c r="P4" i="38"/>
  <c r="O4" i="38"/>
  <c r="N4" i="38"/>
  <c r="M4" i="38"/>
  <c r="L4" i="38"/>
  <c r="K4" i="38"/>
  <c r="J4" i="38"/>
  <c r="I4" i="38"/>
  <c r="H4" i="38"/>
  <c r="G4" i="38"/>
  <c r="F4" i="38"/>
  <c r="E4" i="38"/>
  <c r="D4" i="38"/>
  <c r="C4" i="38"/>
  <c r="B4" i="38"/>
  <c r="B5" i="38" s="1"/>
  <c r="A3" i="38"/>
  <c r="D6" i="36" s="1"/>
  <c r="A88" i="37"/>
  <c r="A87" i="37"/>
  <c r="A86" i="37"/>
  <c r="A85" i="37"/>
  <c r="A84" i="37"/>
  <c r="A83" i="37"/>
  <c r="A82" i="37"/>
  <c r="A81" i="37"/>
  <c r="A80" i="37"/>
  <c r="A79" i="37"/>
  <c r="A78" i="37"/>
  <c r="A77" i="37"/>
  <c r="A76" i="37"/>
  <c r="A75" i="37"/>
  <c r="A74" i="37"/>
  <c r="A73" i="37"/>
  <c r="A71" i="37"/>
  <c r="A69" i="37"/>
  <c r="A68" i="37"/>
  <c r="A67" i="37"/>
  <c r="A66" i="37"/>
  <c r="A65" i="37"/>
  <c r="A64" i="37"/>
  <c r="A63" i="37"/>
  <c r="A62" i="37"/>
  <c r="A60" i="37"/>
  <c r="A59" i="37"/>
  <c r="A58" i="37"/>
  <c r="A57" i="37"/>
  <c r="P9" i="9"/>
  <c r="L31" i="9" s="1"/>
  <c r="P9" i="8"/>
  <c r="L28" i="8" s="1"/>
  <c r="E19" i="6"/>
  <c r="J5" i="4" s="1"/>
  <c r="H1" i="6"/>
  <c r="A16" i="5" s="1"/>
  <c r="J3" i="4"/>
  <c r="A2" i="6" s="1"/>
  <c r="A19" i="6"/>
  <c r="A20" i="6"/>
  <c r="A21" i="6"/>
  <c r="E19" i="3"/>
  <c r="F7" i="8" s="1"/>
  <c r="H1" i="3"/>
  <c r="R12" i="8" s="1"/>
  <c r="C3" i="4"/>
  <c r="A2" i="3" s="1"/>
  <c r="A19" i="3"/>
  <c r="A20" i="3"/>
  <c r="A21" i="3"/>
  <c r="A4" i="3"/>
  <c r="A5" i="3" s="1"/>
  <c r="C14" i="12"/>
  <c r="K14" i="12"/>
  <c r="C15" i="12"/>
  <c r="K15" i="12"/>
  <c r="C16" i="12"/>
  <c r="K16" i="12"/>
  <c r="C17" i="12"/>
  <c r="K17" i="12"/>
  <c r="C18" i="12"/>
  <c r="K18" i="12"/>
  <c r="G20" i="34"/>
  <c r="J26" i="3"/>
  <c r="M20" i="34"/>
  <c r="G23" i="34"/>
  <c r="M23" i="34" s="1"/>
  <c r="M38" i="34" s="1"/>
  <c r="M44" i="34" s="1"/>
  <c r="M11" i="34" s="1"/>
  <c r="J27" i="3"/>
  <c r="M8" i="34"/>
  <c r="J31" i="3"/>
  <c r="M35" i="34"/>
  <c r="G35" i="34"/>
  <c r="J30" i="3"/>
  <c r="M32" i="34"/>
  <c r="G32" i="34"/>
  <c r="J29" i="3"/>
  <c r="K29" i="34"/>
  <c r="G29" i="34"/>
  <c r="M29" i="34"/>
  <c r="J28" i="3"/>
  <c r="M26" i="34"/>
  <c r="G26" i="34"/>
  <c r="K35" i="34"/>
  <c r="K26" i="34"/>
  <c r="G23" i="3"/>
  <c r="G28" i="3"/>
  <c r="G33" i="3"/>
  <c r="G38" i="3"/>
  <c r="G43" i="3"/>
  <c r="H26" i="17"/>
  <c r="E24" i="17"/>
  <c r="H24" i="17"/>
  <c r="H22" i="17"/>
  <c r="K22" i="17"/>
  <c r="H20" i="17"/>
  <c r="L20" i="17"/>
  <c r="M20" i="17"/>
  <c r="K20" i="17"/>
  <c r="A4" i="6"/>
  <c r="A5" i="6" s="1"/>
  <c r="C19" i="12"/>
  <c r="C20" i="12"/>
  <c r="C21" i="12"/>
  <c r="C23" i="9"/>
  <c r="N7" i="9"/>
  <c r="N7" i="8"/>
  <c r="N31" i="9"/>
  <c r="R31" i="9" s="1"/>
  <c r="N30" i="9"/>
  <c r="R30" i="9" s="1"/>
  <c r="H29" i="9"/>
  <c r="L29" i="9" s="1"/>
  <c r="P29" i="9" s="1"/>
  <c r="N28" i="8"/>
  <c r="R28" i="8" s="1"/>
  <c r="N27" i="8"/>
  <c r="P27" i="8" s="1"/>
  <c r="L7" i="9"/>
  <c r="J7" i="9"/>
  <c r="P5" i="9"/>
  <c r="P6" i="9"/>
  <c r="C25" i="9"/>
  <c r="P5" i="8"/>
  <c r="P6" i="8"/>
  <c r="H23" i="9"/>
  <c r="H25" i="9"/>
  <c r="F23" i="9"/>
  <c r="F25" i="9"/>
  <c r="F33" i="9"/>
  <c r="I14" i="6"/>
  <c r="C27" i="9"/>
  <c r="R13" i="9"/>
  <c r="R12" i="9"/>
  <c r="P13" i="9"/>
  <c r="P12" i="9"/>
  <c r="N13" i="9"/>
  <c r="N12" i="9"/>
  <c r="L13" i="9"/>
  <c r="L12" i="9"/>
  <c r="C35" i="9"/>
  <c r="C33" i="9"/>
  <c r="F31" i="9"/>
  <c r="J30" i="9"/>
  <c r="C21" i="9"/>
  <c r="C19" i="9"/>
  <c r="C17" i="9"/>
  <c r="C15" i="9"/>
  <c r="J13" i="9"/>
  <c r="H13" i="9"/>
  <c r="F13" i="9"/>
  <c r="J12" i="9"/>
  <c r="H12" i="9"/>
  <c r="F12" i="9"/>
  <c r="C6" i="9"/>
  <c r="C6" i="8"/>
  <c r="I14" i="3"/>
  <c r="C24" i="8" s="1"/>
  <c r="H26" i="8"/>
  <c r="L26" i="8" s="1"/>
  <c r="P26" i="8" s="1"/>
  <c r="L7" i="8"/>
  <c r="J7" i="8"/>
  <c r="C21" i="8"/>
  <c r="C19" i="8"/>
  <c r="C17" i="8"/>
  <c r="C15" i="8"/>
  <c r="J13" i="8"/>
  <c r="J12" i="8"/>
  <c r="H13" i="8"/>
  <c r="H12" i="8"/>
  <c r="F13" i="8"/>
  <c r="F12" i="8"/>
  <c r="C26" i="4"/>
  <c r="A12" i="6"/>
  <c r="I27" i="4"/>
  <c r="J26" i="4"/>
  <c r="I19" i="4"/>
  <c r="L23" i="4"/>
  <c r="J23" i="4"/>
  <c r="A31" i="5"/>
  <c r="A32" i="5"/>
  <c r="A33" i="5"/>
  <c r="A34" i="5"/>
  <c r="A35" i="5"/>
  <c r="A36" i="5"/>
  <c r="A37" i="5"/>
  <c r="A38" i="5"/>
  <c r="A29" i="4"/>
  <c r="B27" i="4"/>
  <c r="B19" i="4"/>
  <c r="C23" i="4"/>
  <c r="E23" i="4"/>
  <c r="A31" i="2"/>
  <c r="A32" i="2"/>
  <c r="A33" i="2"/>
  <c r="A34" i="2"/>
  <c r="A35" i="2"/>
  <c r="A36" i="2"/>
  <c r="A37" i="2"/>
  <c r="A38" i="2"/>
  <c r="A4" i="5"/>
  <c r="A5" i="5"/>
  <c r="A6" i="5"/>
  <c r="A7" i="5"/>
  <c r="A8" i="5"/>
  <c r="A9" i="5"/>
  <c r="A10" i="5"/>
  <c r="A11" i="5"/>
  <c r="A4" i="2"/>
  <c r="B15" i="12"/>
  <c r="A5" i="2"/>
  <c r="B16" i="12"/>
  <c r="A6" i="2"/>
  <c r="B17" i="12"/>
  <c r="A7" i="2"/>
  <c r="B18" i="12"/>
  <c r="A8" i="2"/>
  <c r="B19" i="12"/>
  <c r="A9" i="2"/>
  <c r="B20" i="12"/>
  <c r="A10" i="2"/>
  <c r="B21" i="12"/>
  <c r="A11" i="2"/>
  <c r="B22" i="12"/>
  <c r="D4" i="1"/>
  <c r="D5" i="1"/>
  <c r="D6" i="1"/>
  <c r="D7" i="1"/>
  <c r="D8" i="1"/>
  <c r="D9" i="1"/>
  <c r="D10" i="1"/>
  <c r="D11" i="1"/>
  <c r="D12" i="1"/>
  <c r="D13" i="1"/>
  <c r="D14" i="1"/>
  <c r="D15" i="1"/>
  <c r="D16" i="1"/>
  <c r="D17" i="1"/>
  <c r="D18" i="1"/>
  <c r="D19" i="1"/>
  <c r="D20" i="1"/>
  <c r="D21" i="1"/>
  <c r="E4" i="1"/>
  <c r="E5" i="1"/>
  <c r="E6" i="1"/>
  <c r="E7" i="1"/>
  <c r="E8" i="1"/>
  <c r="E9" i="1"/>
  <c r="E10" i="1"/>
  <c r="E11" i="1"/>
  <c r="E12" i="1"/>
  <c r="E13" i="1"/>
  <c r="E14" i="1" s="1"/>
  <c r="E15" i="1" s="1"/>
  <c r="E16" i="1" s="1"/>
  <c r="E17" i="1" s="1"/>
  <c r="E18" i="1" s="1"/>
  <c r="E19" i="1" s="1"/>
  <c r="E20" i="1" s="1"/>
  <c r="E21" i="1" s="1"/>
  <c r="C4" i="1"/>
  <c r="C5" i="1"/>
  <c r="C6" i="1"/>
  <c r="C7" i="1"/>
  <c r="F7" i="1"/>
  <c r="V4" i="1"/>
  <c r="V5" i="1"/>
  <c r="V6" i="1"/>
  <c r="V7" i="1"/>
  <c r="V8" i="1"/>
  <c r="V9" i="1"/>
  <c r="V10" i="1"/>
  <c r="V11" i="1"/>
  <c r="V12" i="1"/>
  <c r="V13" i="1"/>
  <c r="V14" i="1"/>
  <c r="V15" i="1"/>
  <c r="V16" i="1"/>
  <c r="V17" i="1"/>
  <c r="V18" i="1" s="1"/>
  <c r="V19" i="1" s="1"/>
  <c r="V20" i="1" s="1"/>
  <c r="V21" i="1" s="1"/>
  <c r="U4" i="1"/>
  <c r="U5" i="1"/>
  <c r="U6" i="1"/>
  <c r="U7" i="1"/>
  <c r="U8" i="1"/>
  <c r="U9" i="1"/>
  <c r="U10" i="1"/>
  <c r="U11" i="1"/>
  <c r="U12" i="1"/>
  <c r="U13" i="1"/>
  <c r="U14" i="1"/>
  <c r="U15" i="1"/>
  <c r="U16" i="1" s="1"/>
  <c r="U17" i="1" s="1"/>
  <c r="U18" i="1" s="1"/>
  <c r="U19" i="1" s="1"/>
  <c r="U20" i="1" s="1"/>
  <c r="U21" i="1" s="1"/>
  <c r="T4" i="1"/>
  <c r="T5" i="1"/>
  <c r="T6" i="1"/>
  <c r="T7" i="1"/>
  <c r="T8" i="1"/>
  <c r="T9" i="1"/>
  <c r="T10" i="1"/>
  <c r="T11" i="1"/>
  <c r="T12" i="1"/>
  <c r="T13" i="1"/>
  <c r="T14" i="1" s="1"/>
  <c r="T15" i="1" s="1"/>
  <c r="T16" i="1" s="1"/>
  <c r="T17" i="1" s="1"/>
  <c r="T18" i="1" s="1"/>
  <c r="T19" i="1" s="1"/>
  <c r="T20" i="1" s="1"/>
  <c r="T21" i="1" s="1"/>
  <c r="S4" i="1"/>
  <c r="S5" i="1"/>
  <c r="S6" i="1"/>
  <c r="S7" i="1"/>
  <c r="S8" i="1"/>
  <c r="S9" i="1"/>
  <c r="R4" i="1"/>
  <c r="R5" i="1"/>
  <c r="R6" i="1"/>
  <c r="R7" i="1"/>
  <c r="R8" i="1"/>
  <c r="R9" i="1"/>
  <c r="R10" i="1"/>
  <c r="R11" i="1"/>
  <c r="R12" i="1"/>
  <c r="R13" i="1"/>
  <c r="R14" i="1"/>
  <c r="R15" i="1"/>
  <c r="R16" i="1"/>
  <c r="R17" i="1"/>
  <c r="R18" i="1"/>
  <c r="R19" i="1"/>
  <c r="R20" i="1"/>
  <c r="R21" i="1"/>
  <c r="Q4" i="1"/>
  <c r="Q5" i="1"/>
  <c r="Q6" i="1"/>
  <c r="Q7" i="1"/>
  <c r="Q8" i="1"/>
  <c r="Q9" i="1"/>
  <c r="Q10" i="1"/>
  <c r="Q11" i="1"/>
  <c r="Q12" i="1"/>
  <c r="Q13" i="1"/>
  <c r="Q14" i="1"/>
  <c r="Q15" i="1" s="1"/>
  <c r="Q16" i="1" s="1"/>
  <c r="Q17" i="1" s="1"/>
  <c r="Q18" i="1" s="1"/>
  <c r="Q19" i="1" s="1"/>
  <c r="Q20" i="1" s="1"/>
  <c r="Q21" i="1" s="1"/>
  <c r="P4" i="1"/>
  <c r="P5" i="1"/>
  <c r="P6" i="1"/>
  <c r="P7" i="1"/>
  <c r="P8" i="1"/>
  <c r="O4" i="1"/>
  <c r="O5" i="1"/>
  <c r="O6" i="1"/>
  <c r="O7" i="1"/>
  <c r="O8" i="1"/>
  <c r="O9" i="1"/>
  <c r="O10" i="1"/>
  <c r="O11" i="1"/>
  <c r="O12" i="1"/>
  <c r="O13" i="1"/>
  <c r="O14" i="1"/>
  <c r="O15" i="1"/>
  <c r="O16" i="1" s="1"/>
  <c r="O17" i="1" s="1"/>
  <c r="O18" i="1" s="1"/>
  <c r="O19" i="1" s="1"/>
  <c r="O20" i="1" s="1"/>
  <c r="O21" i="1" s="1"/>
  <c r="N4" i="1"/>
  <c r="N5" i="1"/>
  <c r="N6" i="1"/>
  <c r="N7" i="1"/>
  <c r="N8" i="1"/>
  <c r="F4" i="1"/>
  <c r="K20" i="34"/>
  <c r="N9" i="1"/>
  <c r="N10" i="1"/>
  <c r="N11" i="1"/>
  <c r="N12" i="1"/>
  <c r="N13" i="1"/>
  <c r="N14" i="1"/>
  <c r="N15" i="1"/>
  <c r="N16" i="1"/>
  <c r="N17" i="1"/>
  <c r="N18" i="1"/>
  <c r="N19" i="1"/>
  <c r="N20" i="1"/>
  <c r="N21" i="1"/>
  <c r="K23" i="34"/>
  <c r="L22" i="17"/>
  <c r="M22" i="17"/>
  <c r="K24" i="17"/>
  <c r="F5" i="1"/>
  <c r="P9" i="1"/>
  <c r="P10" i="1"/>
  <c r="P11" i="1"/>
  <c r="P12" i="1"/>
  <c r="P13" i="1"/>
  <c r="P14" i="1"/>
  <c r="P15" i="1"/>
  <c r="P16" i="1"/>
  <c r="P17" i="1"/>
  <c r="P18" i="1" s="1"/>
  <c r="P19" i="1" s="1"/>
  <c r="P20" i="1" s="1"/>
  <c r="P21" i="1" s="1"/>
  <c r="K32" i="34"/>
  <c r="L30" i="9"/>
  <c r="F6" i="1"/>
  <c r="S10" i="1"/>
  <c r="S11" i="1"/>
  <c r="S12" i="1"/>
  <c r="S13" i="1"/>
  <c r="S14" i="1" s="1"/>
  <c r="S15" i="1" s="1"/>
  <c r="S16" i="1" s="1"/>
  <c r="S17" i="1" s="1"/>
  <c r="S18" i="1" s="1"/>
  <c r="S19" i="1" s="1"/>
  <c r="S20" i="1" s="1"/>
  <c r="S21" i="1" s="1"/>
  <c r="K26" i="17"/>
  <c r="L26" i="17"/>
  <c r="M26" i="17"/>
  <c r="C8" i="1"/>
  <c r="L24" i="17"/>
  <c r="M24" i="17"/>
  <c r="K19" i="12"/>
  <c r="F8" i="1"/>
  <c r="C9" i="1"/>
  <c r="F9" i="1"/>
  <c r="C10" i="1"/>
  <c r="F10" i="1"/>
  <c r="J22" i="4"/>
  <c r="C11" i="1"/>
  <c r="F11" i="1"/>
  <c r="C12" i="1"/>
  <c r="C13" i="1"/>
  <c r="F13" i="1" s="1"/>
  <c r="C14" i="1"/>
  <c r="F14" i="1" s="1"/>
  <c r="C15" i="1"/>
  <c r="F15" i="1" s="1"/>
  <c r="C16" i="1"/>
  <c r="C17" i="1" s="1"/>
  <c r="F16" i="1"/>
  <c r="F12" i="1"/>
  <c r="F30" i="9"/>
  <c r="H31" i="9"/>
  <c r="F35" i="9"/>
  <c r="H30" i="9"/>
  <c r="J31" i="9"/>
  <c r="C37" i="9"/>
  <c r="C39" i="9"/>
  <c r="J39" i="9" s="1"/>
  <c r="F17" i="9"/>
  <c r="F15" i="9"/>
  <c r="F19" i="9"/>
  <c r="L11" i="9"/>
  <c r="P11" i="9" s="1"/>
  <c r="J12" i="4"/>
  <c r="L12" i="4"/>
  <c r="H11" i="9"/>
  <c r="L13" i="4"/>
  <c r="L17" i="4" s="1"/>
  <c r="H33" i="9"/>
  <c r="N15" i="9"/>
  <c r="N37" i="9"/>
  <c r="P37" i="9" s="1"/>
  <c r="R15" i="9"/>
  <c r="J24" i="4"/>
  <c r="K24" i="4" s="1"/>
  <c r="J33" i="9" s="1"/>
  <c r="L33" i="9" s="1"/>
  <c r="J25" i="4"/>
  <c r="K26" i="4" s="1"/>
  <c r="L24" i="4"/>
  <c r="M24" i="4" s="1"/>
  <c r="N33" i="9"/>
  <c r="P33" i="9" s="1"/>
  <c r="R33" i="9" s="1"/>
  <c r="L25" i="4"/>
  <c r="M25" i="4" s="1"/>
  <c r="N17" i="9"/>
  <c r="P17" i="9"/>
  <c r="N35" i="9"/>
  <c r="P35" i="9" s="1"/>
  <c r="R35" i="9" s="1"/>
  <c r="K27" i="4"/>
  <c r="P27" i="4" s="1"/>
  <c r="P19" i="9"/>
  <c r="R19" i="9"/>
  <c r="N21" i="9"/>
  <c r="R21" i="9"/>
  <c r="E25" i="4"/>
  <c r="F25" i="4" s="1"/>
  <c r="E24" i="4"/>
  <c r="F24" i="4" s="1"/>
  <c r="N34" i="8"/>
  <c r="P34" i="8" s="1"/>
  <c r="R34" i="8" s="1"/>
  <c r="N30" i="8"/>
  <c r="P30" i="8" s="1"/>
  <c r="R30" i="8" s="1"/>
  <c r="N32" i="8"/>
  <c r="P32" i="8" s="1"/>
  <c r="R32" i="8" s="1"/>
  <c r="B17" i="4" l="1"/>
  <c r="C9" i="5"/>
  <c r="C32" i="5"/>
  <c r="C33" i="5"/>
  <c r="C4" i="5"/>
  <c r="F12" i="5"/>
  <c r="F13" i="5" s="1"/>
  <c r="F23" i="5" s="1"/>
  <c r="G12" i="5"/>
  <c r="J39" i="5"/>
  <c r="J49" i="5" s="1"/>
  <c r="C6" i="5"/>
  <c r="C31" i="5"/>
  <c r="C7" i="5"/>
  <c r="B28" i="3"/>
  <c r="C38" i="5"/>
  <c r="C30" i="5"/>
  <c r="C3" i="5"/>
  <c r="G39" i="5"/>
  <c r="G49" i="5" s="1"/>
  <c r="C5" i="5"/>
  <c r="C35" i="5"/>
  <c r="C37" i="5"/>
  <c r="J12" i="5"/>
  <c r="J22" i="5" s="1"/>
  <c r="C36" i="5"/>
  <c r="C10" i="5"/>
  <c r="B25" i="3"/>
  <c r="C11" i="5"/>
  <c r="D5" i="9"/>
  <c r="C34" i="5"/>
  <c r="C8" i="5"/>
  <c r="E8" i="5" s="1"/>
  <c r="A6" i="6"/>
  <c r="I16" i="4"/>
  <c r="I24" i="4" s="1"/>
  <c r="I15" i="4"/>
  <c r="I17" i="4"/>
  <c r="I25" i="4" s="1"/>
  <c r="P13" i="8"/>
  <c r="L11" i="8"/>
  <c r="P11" i="8" s="1"/>
  <c r="C12" i="4"/>
  <c r="E12" i="4"/>
  <c r="H11" i="8"/>
  <c r="P12" i="8"/>
  <c r="R13" i="8"/>
  <c r="L13" i="8"/>
  <c r="C22" i="4"/>
  <c r="E13" i="4"/>
  <c r="A16" i="2"/>
  <c r="N12" i="8"/>
  <c r="C30" i="8"/>
  <c r="C32" i="8"/>
  <c r="L27" i="8"/>
  <c r="N13" i="8"/>
  <c r="L12" i="8"/>
  <c r="J28" i="8"/>
  <c r="C34" i="8"/>
  <c r="C33" i="2"/>
  <c r="B26" i="28"/>
  <c r="C31" i="2"/>
  <c r="C32" i="2"/>
  <c r="C7" i="2"/>
  <c r="B24" i="28"/>
  <c r="B14" i="28"/>
  <c r="B10" i="21"/>
  <c r="C19" i="21"/>
  <c r="F12" i="2"/>
  <c r="F13" i="2" s="1"/>
  <c r="F14" i="2" s="1"/>
  <c r="F24" i="2" s="1"/>
  <c r="H22" i="18"/>
  <c r="H21" i="18"/>
  <c r="J20" i="18"/>
  <c r="C35" i="2"/>
  <c r="C15" i="20"/>
  <c r="J39" i="2"/>
  <c r="J49" i="2" s="1"/>
  <c r="C31" i="21"/>
  <c r="H20" i="18"/>
  <c r="G12" i="2"/>
  <c r="G22" i="2" s="1"/>
  <c r="C5" i="2"/>
  <c r="C24" i="20"/>
  <c r="C8" i="2"/>
  <c r="C24" i="21"/>
  <c r="C30" i="2"/>
  <c r="C6" i="2"/>
  <c r="B11" i="20"/>
  <c r="C36" i="2"/>
  <c r="C11" i="2"/>
  <c r="C9" i="2"/>
  <c r="B12" i="15"/>
  <c r="C34" i="2"/>
  <c r="G39" i="2"/>
  <c r="G49" i="2" s="1"/>
  <c r="C37" i="2"/>
  <c r="C38" i="2"/>
  <c r="C14" i="21"/>
  <c r="C3" i="2"/>
  <c r="C4" i="2"/>
  <c r="J12" i="2"/>
  <c r="J22" i="2" s="1"/>
  <c r="C19" i="20"/>
  <c r="C29" i="20"/>
  <c r="C10" i="2"/>
  <c r="B16" i="4"/>
  <c r="A6" i="3"/>
  <c r="B11" i="28" s="1"/>
  <c r="B15" i="4"/>
  <c r="F15" i="8" s="1"/>
  <c r="M26" i="4"/>
  <c r="C18" i="1"/>
  <c r="F17" i="1"/>
  <c r="C5" i="4"/>
  <c r="E8" i="4" s="1"/>
  <c r="C8" i="3" s="1"/>
  <c r="F28" i="8"/>
  <c r="P28" i="8"/>
  <c r="M14" i="34"/>
  <c r="O14" i="34" s="1"/>
  <c r="Y4" i="9"/>
  <c r="W31" i="9"/>
  <c r="AL3" i="8"/>
  <c r="X2" i="8"/>
  <c r="M5" i="38"/>
  <c r="H5" i="38"/>
  <c r="G5" i="38"/>
  <c r="L5" i="38"/>
  <c r="J5" i="38"/>
  <c r="N5" i="38"/>
  <c r="K5" i="38"/>
  <c r="Q5" i="38"/>
  <c r="I5" i="38"/>
  <c r="U6" i="34"/>
  <c r="U7" i="34"/>
  <c r="U5" i="34"/>
  <c r="U2" i="34"/>
  <c r="P21" i="9"/>
  <c r="N19" i="9"/>
  <c r="R17" i="9"/>
  <c r="P15" i="9"/>
  <c r="J8" i="4"/>
  <c r="C2" i="6" s="1"/>
  <c r="C4" i="6" s="1"/>
  <c r="L8" i="4"/>
  <c r="C8" i="6" s="1"/>
  <c r="J13" i="4"/>
  <c r="E2" i="6" s="1"/>
  <c r="A14" i="5" s="1"/>
  <c r="E4" i="5" s="1"/>
  <c r="A41" i="5"/>
  <c r="Q15" i="4"/>
  <c r="K8" i="4"/>
  <c r="C5" i="6" s="1"/>
  <c r="C7" i="6" s="1"/>
  <c r="L15" i="4"/>
  <c r="R37" i="9"/>
  <c r="P39" i="9"/>
  <c r="P41" i="9" s="1"/>
  <c r="M17" i="4"/>
  <c r="Q17" i="4" s="1"/>
  <c r="M18" i="4"/>
  <c r="Q18" i="4" s="1"/>
  <c r="C9" i="6"/>
  <c r="E17" i="5" s="1"/>
  <c r="J37" i="9"/>
  <c r="L37" i="9" s="1"/>
  <c r="P26" i="4"/>
  <c r="R26" i="4" s="1"/>
  <c r="L39" i="9"/>
  <c r="L41" i="9"/>
  <c r="J41" i="9"/>
  <c r="Q24" i="4"/>
  <c r="Q25" i="4"/>
  <c r="L16" i="4"/>
  <c r="M16" i="4" s="1"/>
  <c r="Q16" i="4" s="1"/>
  <c r="P31" i="9"/>
  <c r="C41" i="9"/>
  <c r="H35" i="9"/>
  <c r="K25" i="4"/>
  <c r="P24" i="4"/>
  <c r="R24" i="4" s="1"/>
  <c r="P5" i="38"/>
  <c r="O5" i="38"/>
  <c r="C5" i="38"/>
  <c r="Y5" i="9"/>
  <c r="N36" i="37"/>
  <c r="AX1" i="9" s="1"/>
  <c r="Y3" i="9" s="1"/>
  <c r="N35" i="37"/>
  <c r="R27" i="8"/>
  <c r="F26" i="4"/>
  <c r="Q26" i="4" s="1"/>
  <c r="J27" i="8"/>
  <c r="F27" i="8"/>
  <c r="H28" i="8"/>
  <c r="H27" i="8"/>
  <c r="E5" i="38"/>
  <c r="F5" i="38"/>
  <c r="D5" i="38"/>
  <c r="A4" i="38"/>
  <c r="B24" i="4" l="1"/>
  <c r="F30" i="8" s="1"/>
  <c r="F17" i="8"/>
  <c r="D5" i="8"/>
  <c r="F23" i="2"/>
  <c r="F15" i="2"/>
  <c r="F22" i="2"/>
  <c r="B25" i="4"/>
  <c r="F32" i="8" s="1"/>
  <c r="F19" i="8"/>
  <c r="A41" i="2"/>
  <c r="R15" i="8"/>
  <c r="P17" i="8"/>
  <c r="R17" i="8"/>
  <c r="P21" i="8"/>
  <c r="R21" i="8"/>
  <c r="R19" i="8"/>
  <c r="N19" i="8"/>
  <c r="D8" i="4"/>
  <c r="C5" i="3" s="1"/>
  <c r="C7" i="3" s="1"/>
  <c r="P19" i="8"/>
  <c r="P15" i="8"/>
  <c r="N17" i="8"/>
  <c r="N21" i="8"/>
  <c r="N15" i="8"/>
  <c r="G22" i="5"/>
  <c r="G13" i="5"/>
  <c r="F22" i="5"/>
  <c r="F15" i="5"/>
  <c r="F14" i="5"/>
  <c r="F24" i="5" s="1"/>
  <c r="J13" i="5"/>
  <c r="J15" i="5"/>
  <c r="J25" i="5" s="1"/>
  <c r="J26" i="5" s="1"/>
  <c r="E16" i="4"/>
  <c r="F16" i="4" s="1"/>
  <c r="E17" i="4"/>
  <c r="E19" i="12"/>
  <c r="M19" i="12" s="1"/>
  <c r="N19" i="12" s="1"/>
  <c r="E17" i="12"/>
  <c r="M17" i="12" s="1"/>
  <c r="N17" i="12" s="1"/>
  <c r="E18" i="12"/>
  <c r="M18" i="12" s="1"/>
  <c r="N18" i="12" s="1"/>
  <c r="C8" i="4"/>
  <c r="C2" i="3" s="1"/>
  <c r="C4" i="3" s="1"/>
  <c r="E15" i="4"/>
  <c r="B24" i="12"/>
  <c r="E21" i="12"/>
  <c r="E20" i="12"/>
  <c r="E15" i="12"/>
  <c r="M15" i="12" s="1"/>
  <c r="N15" i="12" s="1"/>
  <c r="E22" i="12"/>
  <c r="E14" i="12"/>
  <c r="M14" i="12" s="1"/>
  <c r="N14" i="12" s="1"/>
  <c r="L6" i="12"/>
  <c r="G13" i="2"/>
  <c r="J13" i="2"/>
  <c r="J15" i="2"/>
  <c r="J25" i="2" s="1"/>
  <c r="J26" i="2" s="1"/>
  <c r="E12" i="12"/>
  <c r="E16" i="12"/>
  <c r="M16" i="12" s="1"/>
  <c r="N16" i="12" s="1"/>
  <c r="F18" i="1"/>
  <c r="C19" i="1"/>
  <c r="G15" i="2"/>
  <c r="G25" i="2" s="1"/>
  <c r="G26" i="2" s="1"/>
  <c r="F25" i="2"/>
  <c r="F26" i="2" s="1"/>
  <c r="C13" i="4"/>
  <c r="E2" i="3" s="1"/>
  <c r="A14" i="2" s="1"/>
  <c r="E11" i="2" s="1"/>
  <c r="E5" i="5"/>
  <c r="A17" i="5"/>
  <c r="E3" i="5"/>
  <c r="E11" i="5"/>
  <c r="E33" i="5"/>
  <c r="E32" i="5"/>
  <c r="E31" i="5"/>
  <c r="E34" i="5"/>
  <c r="E36" i="5"/>
  <c r="E30" i="5"/>
  <c r="E35" i="5"/>
  <c r="E37" i="5"/>
  <c r="E38" i="5"/>
  <c r="E9" i="5"/>
  <c r="E10" i="5"/>
  <c r="E6" i="5"/>
  <c r="E7" i="5"/>
  <c r="E20" i="5"/>
  <c r="E44" i="5"/>
  <c r="E18" i="5"/>
  <c r="E19" i="5" s="1"/>
  <c r="J35" i="9"/>
  <c r="L35" i="9" s="1"/>
  <c r="P25" i="4"/>
  <c r="R25" i="4" s="1"/>
  <c r="R39" i="9"/>
  <c r="R41" i="9" s="1"/>
  <c r="A5" i="38"/>
  <c r="J8" i="36" s="1"/>
  <c r="X8" i="9"/>
  <c r="X3" i="9"/>
  <c r="X31" i="9"/>
  <c r="X11" i="9"/>
  <c r="X27" i="9"/>
  <c r="X6" i="9"/>
  <c r="X15" i="9"/>
  <c r="X19" i="9"/>
  <c r="X23" i="9"/>
  <c r="X5" i="9"/>
  <c r="E38" i="2"/>
  <c r="E32" i="2"/>
  <c r="E35" i="2"/>
  <c r="E30" i="2"/>
  <c r="E31" i="2"/>
  <c r="E37" i="2"/>
  <c r="E34" i="2"/>
  <c r="E36" i="2"/>
  <c r="E33" i="2"/>
  <c r="C9" i="3" l="1"/>
  <c r="E17" i="2" s="1"/>
  <c r="E44" i="2" s="1"/>
  <c r="J14" i="5"/>
  <c r="J24" i="5" s="1"/>
  <c r="J23" i="5"/>
  <c r="F25" i="5"/>
  <c r="F26" i="5" s="1"/>
  <c r="G15" i="5"/>
  <c r="G25" i="5" s="1"/>
  <c r="G26" i="5" s="1"/>
  <c r="G23" i="5"/>
  <c r="G14" i="5"/>
  <c r="G24" i="5" s="1"/>
  <c r="N20" i="12"/>
  <c r="K22" i="12" s="1"/>
  <c r="F18" i="4"/>
  <c r="F17" i="4"/>
  <c r="J23" i="2"/>
  <c r="J14" i="2"/>
  <c r="J24" i="2" s="1"/>
  <c r="G14" i="2"/>
  <c r="G24" i="2" s="1"/>
  <c r="G23" i="2"/>
  <c r="F19" i="1"/>
  <c r="C20" i="1"/>
  <c r="E20" i="2"/>
  <c r="E18" i="2"/>
  <c r="E19" i="2" s="1"/>
  <c r="E3" i="2"/>
  <c r="E6" i="2"/>
  <c r="E4" i="2"/>
  <c r="E5" i="2"/>
  <c r="E9" i="2"/>
  <c r="E10" i="2"/>
  <c r="A17" i="2"/>
  <c r="E7" i="2"/>
  <c r="E8" i="2"/>
  <c r="E12" i="5"/>
  <c r="I12" i="5" s="1"/>
  <c r="L12" i="5" s="1"/>
  <c r="E39" i="5"/>
  <c r="I39" i="5" s="1"/>
  <c r="L39" i="5" s="1"/>
  <c r="H6" i="36"/>
  <c r="H8" i="36"/>
  <c r="G4" i="36"/>
  <c r="H4" i="36" s="1"/>
  <c r="E39" i="2"/>
  <c r="E15" i="5" l="1"/>
  <c r="H12" i="5"/>
  <c r="K12" i="5" s="1"/>
  <c r="C21" i="1"/>
  <c r="F21" i="1" s="1"/>
  <c r="F20" i="1"/>
  <c r="E12" i="2"/>
  <c r="E22" i="5"/>
  <c r="I22" i="5" s="1"/>
  <c r="L22" i="5" s="1"/>
  <c r="J16" i="4" s="1"/>
  <c r="E13" i="5"/>
  <c r="E49" i="5"/>
  <c r="I49" i="5" s="1"/>
  <c r="L49" i="5" s="1"/>
  <c r="J15" i="4" s="1"/>
  <c r="E14" i="5"/>
  <c r="E23" i="5"/>
  <c r="H13" i="5"/>
  <c r="K13" i="5" s="1"/>
  <c r="I13" i="5"/>
  <c r="L13" i="5" s="1"/>
  <c r="E25" i="5"/>
  <c r="I15" i="5"/>
  <c r="L15" i="5" s="1"/>
  <c r="H15" i="5"/>
  <c r="K15" i="5" s="1"/>
  <c r="J3" i="36"/>
  <c r="J2" i="36"/>
  <c r="I39" i="2"/>
  <c r="L39" i="2" s="1"/>
  <c r="E49" i="2"/>
  <c r="I49" i="2" s="1"/>
  <c r="L49" i="2" s="1"/>
  <c r="C15" i="4" s="1"/>
  <c r="H12" i="2" l="1"/>
  <c r="K12" i="2" s="1"/>
  <c r="I12" i="2"/>
  <c r="L12" i="2" s="1"/>
  <c r="E15" i="2"/>
  <c r="E13" i="2"/>
  <c r="E22" i="2"/>
  <c r="H22" i="5"/>
  <c r="K22" i="5" s="1"/>
  <c r="J17" i="4" s="1"/>
  <c r="K15" i="4"/>
  <c r="H15" i="9"/>
  <c r="K16" i="4"/>
  <c r="H17" i="9"/>
  <c r="I25" i="5"/>
  <c r="L25" i="5" s="1"/>
  <c r="E26" i="5"/>
  <c r="H25" i="5"/>
  <c r="K25" i="5" s="1"/>
  <c r="E24" i="5"/>
  <c r="H14" i="5"/>
  <c r="K14" i="5" s="1"/>
  <c r="I14" i="5"/>
  <c r="L14" i="5" s="1"/>
  <c r="H19" i="9"/>
  <c r="K17" i="4"/>
  <c r="J19" i="9" s="1"/>
  <c r="L19" i="9" s="1"/>
  <c r="I23" i="5"/>
  <c r="L23" i="5" s="1"/>
  <c r="H23" i="5"/>
  <c r="K23" i="5" s="1"/>
  <c r="D15" i="4"/>
  <c r="H15" i="8"/>
  <c r="I15" i="2" l="1"/>
  <c r="L15" i="2" s="1"/>
  <c r="H15" i="2"/>
  <c r="K15" i="2" s="1"/>
  <c r="E25" i="2"/>
  <c r="E23" i="2"/>
  <c r="H13" i="2"/>
  <c r="K13" i="2" s="1"/>
  <c r="E14" i="2"/>
  <c r="I13" i="2"/>
  <c r="L13" i="2" s="1"/>
  <c r="H22" i="2"/>
  <c r="K22" i="2" s="1"/>
  <c r="C17" i="4" s="1"/>
  <c r="I22" i="2"/>
  <c r="L22" i="2" s="1"/>
  <c r="C16" i="4" s="1"/>
  <c r="J15" i="9"/>
  <c r="L15" i="9" s="1"/>
  <c r="P15" i="4"/>
  <c r="R15" i="4" s="1"/>
  <c r="P17" i="4"/>
  <c r="R17" i="4" s="1"/>
  <c r="I24" i="5"/>
  <c r="L24" i="5" s="1"/>
  <c r="H24" i="5"/>
  <c r="K24" i="5" s="1"/>
  <c r="J17" i="9"/>
  <c r="L17" i="9" s="1"/>
  <c r="K18" i="4"/>
  <c r="H26" i="5"/>
  <c r="K26" i="5" s="1"/>
  <c r="I26" i="5"/>
  <c r="L26" i="5" s="1"/>
  <c r="P16" i="4"/>
  <c r="R16" i="4" s="1"/>
  <c r="J15" i="8"/>
  <c r="L15" i="8" s="1"/>
  <c r="H19" i="8" l="1"/>
  <c r="D17" i="4"/>
  <c r="J19" i="8" s="1"/>
  <c r="L19" i="8" s="1"/>
  <c r="I25" i="2"/>
  <c r="L25" i="2" s="1"/>
  <c r="C24" i="4" s="1"/>
  <c r="H25" i="2"/>
  <c r="K25" i="2" s="1"/>
  <c r="C25" i="4" s="1"/>
  <c r="E26" i="2"/>
  <c r="I23" i="2"/>
  <c r="L23" i="2" s="1"/>
  <c r="H23" i="2"/>
  <c r="K23" i="2" s="1"/>
  <c r="E24" i="2"/>
  <c r="H14" i="2"/>
  <c r="K14" i="2" s="1"/>
  <c r="I14" i="2"/>
  <c r="L14" i="2" s="1"/>
  <c r="D16" i="4"/>
  <c r="H17" i="8"/>
  <c r="K19" i="4"/>
  <c r="J21" i="9"/>
  <c r="L21" i="9" s="1"/>
  <c r="P18" i="4"/>
  <c r="R18" i="4" s="1"/>
  <c r="D25" i="4" l="1"/>
  <c r="J32" i="8" s="1"/>
  <c r="L32" i="8" s="1"/>
  <c r="H32" i="8"/>
  <c r="D24" i="4"/>
  <c r="J30" i="8" s="1"/>
  <c r="L30" i="8" s="1"/>
  <c r="H30" i="8"/>
  <c r="H24" i="2"/>
  <c r="K24" i="2" s="1"/>
  <c r="I24" i="2"/>
  <c r="L24" i="2" s="1"/>
  <c r="J17" i="8"/>
  <c r="L17" i="8" s="1"/>
  <c r="D18" i="4"/>
  <c r="H26" i="2"/>
  <c r="K26" i="2" s="1"/>
  <c r="I26" i="2"/>
  <c r="L26" i="2" s="1"/>
  <c r="J23" i="9"/>
  <c r="P23" i="9"/>
  <c r="P19" i="4"/>
  <c r="K29" i="4"/>
  <c r="P29" i="4" s="1"/>
  <c r="D26" i="4" l="1"/>
  <c r="D19" i="4"/>
  <c r="J21" i="8"/>
  <c r="L21" i="8" s="1"/>
  <c r="R23" i="9"/>
  <c r="R25" i="9" s="1"/>
  <c r="P25" i="9"/>
  <c r="L23" i="9"/>
  <c r="L25" i="9" s="1"/>
  <c r="J25" i="9"/>
  <c r="J34" i="8" l="1"/>
  <c r="L34" i="8" s="1"/>
  <c r="D27" i="4"/>
  <c r="D29" i="4" s="1"/>
</calcChain>
</file>

<file path=xl/comments1.xml><?xml version="1.0" encoding="utf-8"?>
<comments xmlns="http://schemas.openxmlformats.org/spreadsheetml/2006/main">
  <authors>
    <author>Tschuffer Paul</author>
  </authors>
  <commentList>
    <comment ref="E5" authorId="0" shapeId="0">
      <text>
        <r>
          <rPr>
            <b/>
            <i/>
            <sz val="8"/>
            <color indexed="16"/>
            <rFont val="Tahoma"/>
            <family val="2"/>
          </rPr>
          <t xml:space="preserve">Der Einheitswert muss eingegeben werden, er wird automatisch auf volle hundert Euro abgerundet.
</t>
        </r>
      </text>
    </comment>
    <comment ref="L5" authorId="0" shapeId="0">
      <text>
        <r>
          <rPr>
            <b/>
            <i/>
            <sz val="8"/>
            <color indexed="16"/>
            <rFont val="Tahoma"/>
            <family val="2"/>
          </rPr>
          <t xml:space="preserve">Der Einheitswert muss eingegeben werden, er wird automatisch auf volle hundert Euro abgerundet.
</t>
        </r>
      </text>
    </comment>
    <comment ref="F8" authorId="0" shapeId="0">
      <text>
        <r>
          <rPr>
            <b/>
            <i/>
            <sz val="8"/>
            <color indexed="16"/>
            <rFont val="Tahoma"/>
            <family val="2"/>
          </rPr>
          <t>Eingabe für Nebentätigkeiten:
Bruttoumsatz ohne Abzug des Freibetrages von EUR 3.700 (bei Be-/Verarbeitung und Urlaub am Bauernhof), dieser wird bei der Berechnung berücksichtigt.
Der Jahresumsatz wird der Einfachheit halber immer durch 12 Monate geteilt</t>
        </r>
        <r>
          <rPr>
            <sz val="8"/>
            <color indexed="81"/>
            <rFont val="Tahoma"/>
            <family val="2"/>
          </rPr>
          <t xml:space="preserve">
</t>
        </r>
      </text>
    </comment>
    <comment ref="M8" authorId="0" shapeId="0">
      <text>
        <r>
          <rPr>
            <b/>
            <i/>
            <sz val="8"/>
            <color indexed="16"/>
            <rFont val="Tahoma"/>
            <family val="2"/>
          </rPr>
          <t>Eingabe für Nebentätigkeiten:
Bruttoumsatz ohne Abzug des Freibetrages von EUR 3.700 (bei Be-/Verarbeitung und Urlaub am Bauernhof), dieser wird bei der Berechnung berücksichtigt.
Der Jahresumsatz wird der Einfachheit halber immer durch 12 Monate geteilt</t>
        </r>
        <r>
          <rPr>
            <sz val="8"/>
            <color indexed="81"/>
            <rFont val="Tahoma"/>
            <family val="2"/>
          </rPr>
          <t xml:space="preserve">
</t>
        </r>
      </text>
    </comment>
    <comment ref="F10" authorId="0" shapeId="0">
      <text>
        <r>
          <rPr>
            <b/>
            <i/>
            <sz val="8"/>
            <color indexed="16"/>
            <rFont val="Tahoma"/>
            <family val="2"/>
          </rPr>
          <t>Eingabe der Form der Betriebsführung:
Es kann zwischen alleiniger Betriebsführung, BF unter Ehegatten und 1/2-1/2 -Betriebsführung mit Nichtehegatten (z.B. mit Bruder oder Schwester) gewählt werden.</t>
        </r>
        <r>
          <rPr>
            <sz val="8"/>
            <color indexed="81"/>
            <rFont val="Tahoma"/>
            <family val="2"/>
          </rPr>
          <t xml:space="preserve">
</t>
        </r>
      </text>
    </comment>
    <comment ref="M10" authorId="0" shapeId="0">
      <text>
        <r>
          <rPr>
            <b/>
            <i/>
            <sz val="8"/>
            <color indexed="16"/>
            <rFont val="Tahoma"/>
            <family val="2"/>
          </rPr>
          <t>Eingabe der Form der Betriebsführung:
Es kann zwischen alleiniger Betriebsführung, BF unter Ehegatten und 1/2-1/2 -Betriebsführung mit Nichtehegatten (z.B. mit Bruder oder Schwester) gewählt werden.</t>
        </r>
        <r>
          <rPr>
            <sz val="8"/>
            <color indexed="81"/>
            <rFont val="Tahoma"/>
            <family val="2"/>
          </rPr>
          <t xml:space="preserve">
</t>
        </r>
      </text>
    </comment>
    <comment ref="B18" authorId="0" shapeId="0">
      <text>
        <r>
          <rPr>
            <b/>
            <i/>
            <sz val="8"/>
            <color indexed="16"/>
            <rFont val="Tahoma"/>
            <family val="2"/>
          </rPr>
          <t>Eingabe ob monatliche oder quartalsweise Berechnung:
Durch Klicken auf das Kästchen neben "Beitrag pro Monat" kann auf eine Berechnung pro Quartal umgestellt werden.</t>
        </r>
      </text>
    </comment>
    <comment ref="I18" authorId="0" shapeId="0">
      <text>
        <r>
          <rPr>
            <b/>
            <i/>
            <sz val="8"/>
            <color indexed="16"/>
            <rFont val="Tahoma"/>
            <family val="2"/>
          </rPr>
          <t>Eingabe ob monatliche oder quartalsweise Berechnung:
Durch Klicken auf das Kästchen neben "Beitrag pro Monat" kann auf eine Berechnung pro Quartal umgestellt werden.</t>
        </r>
      </text>
    </comment>
    <comment ref="F21" authorId="0" shapeId="0">
      <text>
        <r>
          <rPr>
            <b/>
            <i/>
            <sz val="8"/>
            <color indexed="16"/>
            <rFont val="Tahoma"/>
            <family val="2"/>
          </rPr>
          <t>Eingabe hauptberuflich beschäftigter Angehöriger:
Es kann 1 Kind (alternativ mit Ehegatten), 1 Kind unter 18 (= halber Beitrag) oder 1 ÜbergeberIn eingegeben werden.</t>
        </r>
      </text>
    </comment>
    <comment ref="M21" authorId="0" shapeId="0">
      <text>
        <r>
          <rPr>
            <b/>
            <i/>
            <sz val="8"/>
            <color indexed="16"/>
            <rFont val="Tahoma"/>
            <family val="2"/>
          </rPr>
          <t>Eingabe hauptberuflich beschäftigter Angehöriger:
Es kann 1 Kind (alternativ mit Ehegatten), 1 Kind unter 18 (= halber Beitrag) oder 1 ÜbergeberIn eingegeben werden.</t>
        </r>
      </text>
    </comment>
    <comment ref="B26" authorId="0" shapeId="0">
      <text>
        <r>
          <rPr>
            <b/>
            <i/>
            <sz val="8"/>
            <color indexed="16"/>
            <rFont val="Tahoma"/>
            <family val="2"/>
          </rPr>
          <t>Eingabe ob monatliche oder quartalsweise Berechnung:
Durch Klicken auf das Kästchen neben "Beitrag pro Monat" kann auf eine Berechnung pro Quartal umgestellt werden.</t>
        </r>
      </text>
    </comment>
    <comment ref="I26" authorId="0" shapeId="0">
      <text>
        <r>
          <rPr>
            <b/>
            <i/>
            <sz val="8"/>
            <color indexed="16"/>
            <rFont val="Tahoma"/>
            <family val="2"/>
          </rPr>
          <t>Eingabe ob monatliche oder quartalsweise Berechnung:
Durch Klicken auf das Kästchen neben "Beitrag pro Monat" kann auf eine Berechnung pro Quartal umgestellt werden.</t>
        </r>
      </text>
    </comment>
  </commentList>
</comments>
</file>

<file path=xl/sharedStrings.xml><?xml version="1.0" encoding="utf-8"?>
<sst xmlns="http://schemas.openxmlformats.org/spreadsheetml/2006/main" count="841" uniqueCount="370">
  <si>
    <t>In der Landwirtschaft sind die meisten Betriebe steuerlich "pauschaliert". Daher ist der Einheitswert des land(forst)wirtschaftlichen Betriebes im Regelfall auch Grundlage für die Beitrags-berechnung.</t>
  </si>
  <si>
    <t>Vorjahr</t>
  </si>
  <si>
    <t>akt. Jahr</t>
  </si>
  <si>
    <t>Hauptberufliche Beschäftigung von Angehörigen</t>
  </si>
  <si>
    <t>der Ehegatte des Betriebsführers</t>
  </si>
  <si>
    <t xml:space="preserve">die/der Übergeber (Eltern, Großeltern, Wahl-, Stief- und Schwiegereltern) des land(fortst)wirtschaftlichen Betriebes
</t>
  </si>
  <si>
    <t>ð</t>
  </si>
  <si>
    <t>es ist nur die Hälfte des sonst für Kinder geltenden Beitrags zu leisten</t>
  </si>
  <si>
    <t>Eine hauptberufliche Beschäftigung im land(forst)wirtschaftlichen Betrieb liegt dann vor, wenn diese zeitlich gesehen den größten Teil der Arbeitszeit im land(forst)wirtschaftlichen Betrieb umfasst. Gleichzeitig neben einem Schulbesuch oder neben einem Studium ist eine hauptberufliche Beschäftigung im landwirtschaftlichen Betrieb nicht möglich.</t>
  </si>
  <si>
    <t>Höchstbeitragsgrundlagen</t>
  </si>
  <si>
    <t>In erster Linie werden die Leistungen der bäuerlichen Kranken-, Unfall- und Pensionsversicherung über Beiträge der Pflichtversicherten finanziert. Darüber hinaus werden auch zweckgebundene Steuerabgaben und sonstige Bundesmittel zur Finanzierung der bäuerlichen Unfall- und Pensionsversicherung herangezogen.</t>
  </si>
  <si>
    <t>Zur Info</t>
  </si>
  <si>
    <t xml:space="preserve">Die Höhe der Beiträge zur Kranken-, Unfall- und Pensionsversicherung errechnet sich aus der Beitragsgrundlage und dem jeweiligen </t>
  </si>
  <si>
    <t>Beitragsgrundlage und Beitragssatz</t>
  </si>
  <si>
    <t>Zusatz</t>
  </si>
  <si>
    <t>Beitragssatz I</t>
  </si>
  <si>
    <t>Der Beitragssatz in der PV beträgt ab 01.01.2015 17,00%</t>
  </si>
  <si>
    <t>Der Beitragssatz in der PV betrug bis 31.12.2014 16,50%</t>
  </si>
  <si>
    <t>Pensionsversicherung errechnet sich aus der Beitragsgrundlage multipliziert mit dem jeweiligen Beitragssatz, welcher gesetzlich festgelegt ist:</t>
  </si>
  <si>
    <t>ermittelten Beitragsgrundlagen hinzuzurechnen bzw. scheinen bei Betrieben mit Beitragsgrundlagen-Option ("große Option") im Einkommensteuerbescheid auf und werden damit Bestandteil der aus dem ESt-Bescheid ergebenden Beitragsgrundlagen.</t>
  </si>
  <si>
    <t>pro Monat</t>
  </si>
  <si>
    <t>pro Jahr</t>
  </si>
  <si>
    <r>
      <t>Bei</t>
    </r>
    <r>
      <rPr>
        <b/>
        <sz val="11"/>
        <rFont val="Arial"/>
        <family val="2"/>
      </rPr>
      <t xml:space="preserve"> Zupachtung</t>
    </r>
    <r>
      <rPr>
        <sz val="11"/>
        <rFont val="Arial"/>
        <family val="2"/>
      </rPr>
      <t xml:space="preserve"> einer land(forst)wirtschaftlichen Fläche der um ein Drittel verringerte anteilsmäßige Ertragswert der gepachteten Fläche. Wenn ein Ehepartner vom anderen Ehepartner bzw. eingetragene Partner voneinander, oder wenn Kinder (Enkel-, Wahl-, Stief-, Schwiegerkinder) und Eltern (Groß-, Wahl-, Stief-, Schwiegereltern) voneinander pachten, ist dem Pächter der volle Ertragswert anzurechnen (dies gilt auch für unentgeltlich bewirtschaftete Nutzungsflächen). </t>
    </r>
  </si>
  <si>
    <t>Kinder, Wahlkinder, Enkel, Schwiegerkinder sowie Stiefkinder des Betriebsführers</t>
  </si>
  <si>
    <t>Kinder, Wahlkinder, Enkel, Schwiegerkinder sowie Stiefkinder des Betriebsführers vor Vollendung des 18. Lebensjahres</t>
  </si>
  <si>
    <t>Folgende Personen können als hauptberuflich im land(forst)wirtschaftlichen Betrieb beschäftigte Angehörige in der bäuerlichen Kranken-, Unfall- und Pensionsversicherung pflichtversichert sein mit den angeführten beitragsrechtlichen Besonderheiten:</t>
  </si>
  <si>
    <t>Heranzuziehen ist (jeweils) die halbe Beitragsgrundlage, die sich aus dem Einheitswert zuzüglich allfälliger Nebentätigkeiten für den Betrieb ergibt; die Beitragssätze sind gleich wie für den Betriebsführer.</t>
  </si>
  <si>
    <t>Heranzuziehen ist ein Drittel der für den Betriebsführer geltende Beitragsgrundlage; die Beitragssätze sind wiederum gleich wie für den Betriebsführer; sind Kind und Schwiegerkind als Ehepaar im (schwieger)elterlichen Betrieb beschäftigt ist die sich für Kinder ergebende Beitragsgrundlage zu teilen.</t>
  </si>
  <si>
    <t>Ob der Einheitswert die Versicherungsgrenze von EUR 1.500 erreicht oder nicht, ist für das Entstehen einer Pflichtversicherung aufgrund einer hauptberuflichen Beschäftigung ohne Belang.</t>
  </si>
  <si>
    <t>EHW KV + UV</t>
  </si>
  <si>
    <t>EHW PV</t>
  </si>
  <si>
    <t>EHW allein</t>
  </si>
  <si>
    <t>EHW Ehepaar</t>
  </si>
  <si>
    <t>Jahr</t>
  </si>
  <si>
    <t>Aufwertungs-
zahl</t>
  </si>
  <si>
    <t>Mindest-BTG</t>
  </si>
  <si>
    <t>Höchst-BTG</t>
  </si>
  <si>
    <t>KV</t>
  </si>
  <si>
    <t>PV</t>
  </si>
  <si>
    <t>UV</t>
  </si>
  <si>
    <t>BHG</t>
  </si>
  <si>
    <t>Nebentätigkeiten</t>
  </si>
  <si>
    <t>Selbständigen</t>
  </si>
  <si>
    <t>Option PV</t>
  </si>
  <si>
    <t>Freibetrag</t>
  </si>
  <si>
    <t>Prozentsätze für Versicherungswert</t>
  </si>
  <si>
    <t>Option KV UV</t>
  </si>
  <si>
    <t>vorsorge</t>
  </si>
  <si>
    <t>Mindest-BTG
KV/UV</t>
  </si>
  <si>
    <t>Mindest-BTG
PV</t>
  </si>
  <si>
    <t>Beitragssätze</t>
  </si>
  <si>
    <t>EHW</t>
  </si>
  <si>
    <t>von</t>
  </si>
  <si>
    <t>bis</t>
  </si>
  <si>
    <t>%-Satz</t>
  </si>
  <si>
    <t>BTG ohne</t>
  </si>
  <si>
    <t>Mindest/Höchst-BTG</t>
  </si>
  <si>
    <t>Mindest-PV</t>
  </si>
  <si>
    <t>Mindest-KV</t>
  </si>
  <si>
    <t>BTG PV 1</t>
  </si>
  <si>
    <t>BTG KV 1</t>
  </si>
  <si>
    <t>BTG PV</t>
  </si>
  <si>
    <t>endgültig</t>
  </si>
  <si>
    <t>BTG KV</t>
  </si>
  <si>
    <t>BF</t>
  </si>
  <si>
    <t>Ehegatte</t>
  </si>
  <si>
    <t>Übergeber</t>
  </si>
  <si>
    <t>Kind</t>
  </si>
  <si>
    <t>Nebentätigkeit</t>
  </si>
  <si>
    <t>Gesamt</t>
  </si>
  <si>
    <t>Nebentätigkeit 1</t>
  </si>
  <si>
    <t>Jahr 1</t>
  </si>
  <si>
    <t>Einheitswert 1</t>
  </si>
  <si>
    <t>alleinige Betriebsführung</t>
  </si>
  <si>
    <t>Betriebsführung mit Ehegatten</t>
  </si>
  <si>
    <t>Ehegatte hauptberuflich beschäftigt</t>
  </si>
  <si>
    <t>Art der BF/pflichtversicherte Person</t>
  </si>
  <si>
    <t>Betriebsführer</t>
  </si>
  <si>
    <t>Einheitswert</t>
  </si>
  <si>
    <t>Person</t>
  </si>
  <si>
    <t>zusätzlich pflichtversichert</t>
  </si>
  <si>
    <t>Berechnung 1</t>
  </si>
  <si>
    <t>Beitrags-
grundlage</t>
  </si>
  <si>
    <t>Beitrags-
satz</t>
  </si>
  <si>
    <t>monatlicher
Beitrag</t>
  </si>
  <si>
    <t>Unfallversicherung</t>
  </si>
  <si>
    <t>Krankenversicherung</t>
  </si>
  <si>
    <t>Pensionsversicherung</t>
  </si>
  <si>
    <t>---</t>
  </si>
  <si>
    <t>Betriebsführung mit anderer Person (1/2 - 1/2)</t>
  </si>
  <si>
    <t>Betriebsführer 1</t>
  </si>
  <si>
    <t>Betriebsführer 2</t>
  </si>
  <si>
    <t>heranzuziehender EHW</t>
  </si>
  <si>
    <t>Mindest-UV</t>
  </si>
  <si>
    <t>BTG UV 1</t>
  </si>
  <si>
    <t>BTG UV</t>
  </si>
  <si>
    <t>Art der Betriebsführung</t>
  </si>
  <si>
    <t>Nebentätigkeit Jahresbruttoumsatz</t>
  </si>
  <si>
    <t>Be-/Verarb-
eitung</t>
  </si>
  <si>
    <t>Urlaub am
Bauernhof</t>
  </si>
  <si>
    <t>hbf. besch. Kind</t>
  </si>
  <si>
    <t>hbf. besch. Kind unter 18</t>
  </si>
  <si>
    <t>hbf. besch. Schwiegerkind</t>
  </si>
  <si>
    <t>hbf. besch. ÜbergeberIn</t>
  </si>
  <si>
    <t>zusätzlich hauptberuflich beschäftigt</t>
  </si>
  <si>
    <t>sonstige
Nebentätigk.</t>
  </si>
  <si>
    <t>Beitrag pro Monat/Quartal</t>
  </si>
  <si>
    <t>Hilfe</t>
  </si>
  <si>
    <t>Beitragsberechnung - Ausgangsbetrieb</t>
  </si>
  <si>
    <t>BF 1</t>
  </si>
  <si>
    <t>BF 2</t>
  </si>
  <si>
    <t>gesamt</t>
  </si>
  <si>
    <t>Differenz</t>
  </si>
  <si>
    <t>Beitragsberechnung - Vergleichsbetrieb</t>
  </si>
  <si>
    <t>HBF 1</t>
  </si>
  <si>
    <t>HBF 2</t>
  </si>
  <si>
    <t>Kind-Ehegatte</t>
  </si>
  <si>
    <t>Jahr auswählen</t>
  </si>
  <si>
    <t>Jahresbruttoumsatz für Nebentätigkeit</t>
  </si>
  <si>
    <t>Form der Betriebsführung</t>
  </si>
  <si>
    <t>EHW Istzahl</t>
  </si>
  <si>
    <t>NT Istzahl</t>
  </si>
  <si>
    <t>Be- und 
Verarbeitung</t>
  </si>
  <si>
    <t>Urlaub am 
Bauernhof</t>
  </si>
  <si>
    <t>Sonstige 
Nebentätigk.</t>
  </si>
  <si>
    <t>Zusätzlich hauptberuflich Beschäftigte(n) auswählen</t>
  </si>
  <si>
    <t>hauptberuflich beschäftigtes Kind</t>
  </si>
  <si>
    <t>hauptberuflich beschäftigtes Kind + Schwiegerkind</t>
  </si>
  <si>
    <t>hauptberuflich beschäftigtes Kind unter 18</t>
  </si>
  <si>
    <t>hauptberuflich beschäftigte(r) ÜbergeberIn</t>
  </si>
  <si>
    <t>Vergleichsbetrieb</t>
  </si>
  <si>
    <t>Fragen und Antworten</t>
  </si>
  <si>
    <t>Fragen &amp; Antworten</t>
  </si>
  <si>
    <t>Beiträge aus dem Einheitswert</t>
  </si>
  <si>
    <t>ab</t>
  </si>
  <si>
    <t>Beispiel:</t>
  </si>
  <si>
    <t>EHW-Anteil</t>
  </si>
  <si>
    <t>Prozentsatz</t>
  </si>
  <si>
    <t>Beitragsgrundlage</t>
  </si>
  <si>
    <t>Betrieb mit EHW 22.500</t>
  </si>
  <si>
    <t>Die monatliche Beitragsgrundlage</t>
  </si>
  <si>
    <t>Beitragsgrundlagenoption - Gesamtbetrieb</t>
  </si>
  <si>
    <t xml:space="preserve">Die Beitragsgrundlagenoption kann immer nur für den gesamten Betrieb gewählt werden, dh: wird für den Flächenbetrieb optiert, gilt das automatisch auch für allfällige Nebentätigkeiten. </t>
  </si>
  <si>
    <r>
      <t>Achtung:</t>
    </r>
    <r>
      <rPr>
        <sz val="11"/>
        <rFont val="Arial"/>
        <family val="2"/>
      </rPr>
      <t xml:space="preserve"> Beachten Sie bei einer Entscheidung für die Beitragsgrundlagenoption auch die Auswirkungen im Steuer- und Pensionsrecht. Die Bemessung der Sozialversicherungs-Beitragsgrundlage auf Basis der im Einkommensteuerbescheid ausgewiesenen Einkünfte setzt nämlich voraus , dass die steuerliche Gewinnermittlung durch Teilpauschalierung, Einnahmen-Ausgaben-Rechnung oder Buchführung festgestellt und nicht aufgrund einer Vollpauschalierung ermittelt wird. Ein allfälliges Absinken bzw. Ansteigen der Beitragsgrundlage wirkt sich mindernd bzw. erhöhend auf die spätere Pension aus. In Hinblick auch auf die eingeschränkten Ausstiegsmöglichkeiten ist es daher für jede/n Versicherte/n ratsam, sich vor einer Entscheidung für die Beitragsgrundlagenoption gründlich, sowohl in sozialrechtlicher als auch steuerlicher Hinsicht beraten zu lassen. </t>
    </r>
  </si>
  <si>
    <t>Ein Antrag auf Beitragsgrundlagenoption gilt auch für die Folgejahre und kann nur dann widerrufen werden, wenn eine Änderung der Betriebsführung eintritt:</t>
  </si>
  <si>
    <t>- Änderung der personellen Zusammensetzung in der Betriebsführung</t>
  </si>
  <si>
    <t>- Absenkung unter die Pflichtversicherungsgrenze von EUR 1.500,– Einheitswert</t>
  </si>
  <si>
    <t>- Änderung  des  Betriebszweiges  oder  Betriebscharakters  (z.B.  Aufgabe  der  Schweinezucht,  Aufnahme  der Direktvermarktung)</t>
  </si>
  <si>
    <t>Beiträge aus dem Einheitswert plus Beiträge für bäuerliche Nebentätigkeiten</t>
  </si>
  <si>
    <t>Die Mindestbeitragsgrundlage ist ein im Bauern-Sozialversicherungsgesetz (BSVG) festgelegter Betrag, welcher jährlich aufgewertet wird. Zumindest von diesem Wert werden die Beiträge nach dem BSVG berechnet (=Untergrenze).</t>
  </si>
  <si>
    <t xml:space="preserve">Betriebsführern und hauptberuflich beschäftigte Ehepartnern: </t>
  </si>
  <si>
    <t>l</t>
  </si>
  <si>
    <t xml:space="preserve">hauptberuflich beschäftigten Kindern, Enkeln: </t>
  </si>
  <si>
    <t xml:space="preserve">hauptberuflich beschäftigten ÜbergeberInnen (z.B. Eltern): </t>
  </si>
  <si>
    <t>Mindestbeitragsgrundlagen</t>
  </si>
  <si>
    <t>Für die Be- und Verarbeitung sowie Vermarktung überwiegend eigener Naturprodukte, den Mostbuschenschank und die Almausschankbetriebe kommt bei der pauschalen Beitragsgrundlagenermittlung einmalig ein Freibetrag von EUR 3.700,00 jährlich zur Anwendung, von welchem keine Beiträge zu entrichten sind. Ein eigener Freibetrag von EUR 3.700,00 ist auch bei Urlaub am Bauernhof zu berücksichtigen.</t>
  </si>
  <si>
    <t>Beispiele:</t>
  </si>
  <si>
    <t>Tätigkeit</t>
  </si>
  <si>
    <t>Holzakkordant</t>
  </si>
  <si>
    <t>Bruttoumsatz</t>
  </si>
  <si>
    <t>70% Ausgaben-</t>
  </si>
  <si>
    <t>pauschale</t>
  </si>
  <si>
    <t>Be- und Verarbeitung</t>
  </si>
  <si>
    <t>Berechnungs-</t>
  </si>
  <si>
    <t>basis</t>
  </si>
  <si>
    <t>Almbewirtschaftung</t>
  </si>
  <si>
    <t>Urlaub am Bauernhof</t>
  </si>
  <si>
    <t>0,00*</t>
  </si>
  <si>
    <t xml:space="preserve">Der Bildung des Versicherungswertes (= Beitragsgrundlage) sind folgende Einheitswerte zugrunde zu legen: </t>
  </si>
  <si>
    <t>Heranzuziehender Einheitswert - Auswirkungen von Zu- und Verpachtungen etc.</t>
  </si>
  <si>
    <r>
      <t xml:space="preserve">Bei </t>
    </r>
    <r>
      <rPr>
        <b/>
        <sz val="11"/>
        <rFont val="Arial"/>
        <family val="2"/>
      </rPr>
      <t>Verpachtung</t>
    </r>
    <r>
      <rPr>
        <sz val="11"/>
        <rFont val="Arial"/>
        <family val="2"/>
      </rPr>
      <t xml:space="preserve"> einer land(forst)wirtschaftlichen Fläche ein um den anteilsmäßigen Ertragswert der verpachteten Fläche verminderter Einheitswert.
</t>
    </r>
  </si>
  <si>
    <r>
      <t>Bei</t>
    </r>
    <r>
      <rPr>
        <b/>
        <sz val="11"/>
        <rFont val="Arial"/>
        <family val="2"/>
      </rPr>
      <t xml:space="preserve"> Erwerb oder Veräußerung</t>
    </r>
    <r>
      <rPr>
        <sz val="11"/>
        <rFont val="Arial"/>
        <family val="2"/>
      </rPr>
      <t xml:space="preserve"> einer land(forst)wirtschaftlichen Fläche (Übertragung von Eigentumsanteilen an einer solchen) ein um den anteilsmäßigen Ertragswert dieser Fläche (des Eigentumsanteiles) erhöhter bzw. verminderter Einheitswert.</t>
    </r>
  </si>
  <si>
    <t>*ein allfälliger "Freibetragsüberschuss" kann nicht auf ander NT-Kategorien umgelegt werden.</t>
  </si>
  <si>
    <r>
      <t xml:space="preserve">Der </t>
    </r>
    <r>
      <rPr>
        <b/>
        <sz val="11"/>
        <rFont val="Arial"/>
        <family val="2"/>
      </rPr>
      <t>Einheitswert des land(forst)wirtschaftlichen Betriebes</t>
    </r>
    <r>
      <rPr>
        <sz val="11"/>
        <rFont val="Arial"/>
        <family val="2"/>
      </rPr>
      <t>, bei Führung mehrerer land(forst)wirtschaftlicher Betriebe die Summe der Einheitswerte aller Betriebe.</t>
    </r>
  </si>
  <si>
    <r>
      <t xml:space="preserve">Bei </t>
    </r>
    <r>
      <rPr>
        <b/>
        <sz val="11"/>
        <rFont val="Arial"/>
        <family val="2"/>
      </rPr>
      <t xml:space="preserve">Miteigentum </t>
    </r>
    <r>
      <rPr>
        <sz val="11"/>
        <rFont val="Arial"/>
        <family val="2"/>
      </rPr>
      <t xml:space="preserve">eines auf gemeinsame Rechnung und Gefahr geführten land(forst)wirtschaftlichen Betriebes der anteilige Einheitswert. Führen Ehepartner oder eingetragene Partner einen im Miteigentum stehenden Betrieb auf gemeinsame Rechnung und Gefahr, erfolgt keine Teilung des Einheitswertes, sondern der sich daraus errechnenden Beitragsgrundlage. </t>
    </r>
  </si>
  <si>
    <r>
      <t xml:space="preserve">Bei Führung des Betriebes durch </t>
    </r>
    <r>
      <rPr>
        <b/>
        <sz val="11"/>
        <rFont val="Arial"/>
        <family val="2"/>
      </rPr>
      <t>Gesellschaften bürgerlichen Rechts</t>
    </r>
    <r>
      <rPr>
        <sz val="11"/>
        <rFont val="Arial"/>
        <family val="2"/>
      </rPr>
      <t>, sofern es sich um keine reine Miteigentümergemeinschaft handelt, der im Verhältnis der Anzahl der Gesellschafter geteilte Einheitswert. Bei (Ehe-)Partnern gilt die oben angeführte Regelung.</t>
    </r>
  </si>
  <si>
    <t xml:space="preserve">Besitzt bzw. bewirtschaftet der Betriebsführer (Betriebs- und Wohnsitz in Österreich) land(forst)wirtschaftliche Flächen im EWR-Ausland , so werden diese für die Beitragsberechnung ebenfalls herangezogen. </t>
  </si>
  <si>
    <t>Die Summe der Einheitswerte ist auf volle hundert Euro abzurunden.</t>
  </si>
  <si>
    <t>Nebentätigkeiten - kleine Option</t>
  </si>
  <si>
    <t>Die Beitragsgrundlagenermittlung kann auch "isoliert" für Nebentätigkeiten vom Einkommensteuerbescheid erfolgen ("kleine Option"). Voraussetzung ist, dass die Beiträge für den Flächenbetrieb pauschal über den Einheitswert bemessen werden.</t>
  </si>
  <si>
    <t>Vorläufige Beitragsgrundlage</t>
  </si>
  <si>
    <t>Endgültige Beitragsgrundlage</t>
  </si>
  <si>
    <t>Version</t>
  </si>
  <si>
    <t xml:space="preserve">Ändert sich der Einheitswert z.B. aufgrund einer Wertfortschreibung, ohne dass sich das Ausmaß der bewirtschafteten Flächen verändert, so wird diese Änderung nach derzeitiger Rechtslage mit dem Ersten des Kalendervierteljahres wirksam, das der Zustellung des Bescheides der Finanzbehörde erster Instanz folgt. </t>
  </si>
  <si>
    <t xml:space="preserve">Bei Vorlage des rechtskräftigen Einkommensteuerbescheides erfolgt eine Nachbemessung für das jeweilige Beitragsjahr. Als Beitragsgrundlage werden sodann die Einkünfte aus allen Nebentätigkeiten herangezogen, die im Einkommensteuerbescheid ausgewiesen sind, zuzüglich der im Beitragsjahr vorgeschriebenen Beiträge zur Kranken- und Pensionsversicherung, welche bei der Einkommensteuererklärung einen Abzugsposten darstellen. </t>
  </si>
  <si>
    <t xml:space="preserve">Diesfalls gilt die vorläufige Beitragsgrundlage als endgültige. </t>
  </si>
  <si>
    <t>Beachten Sie bei einer Entscheidung für die Optionslinie auch die Auswirkungen im Steuer- und Pensionsrecht.</t>
  </si>
  <si>
    <t>Zu beachten ist, dass bei der "kleinen Option" die Beitragsermittlung für alle Nebentätigkeiten in gleicher Weise zur Anwendung gelangt. Eine Einteilung in Gruppen entfällt.</t>
  </si>
  <si>
    <t>Änderungen des Einheitswertes</t>
  </si>
  <si>
    <t>2/3 bzw. 3/3</t>
  </si>
  <si>
    <t xml:space="preserve">Einheitswertsumme der Veränderungen </t>
  </si>
  <si>
    <t>Geben Sie in dieser</t>
  </si>
  <si>
    <t>Spalte das Flächen-</t>
  </si>
  <si>
    <t>ausmaß ein.</t>
  </si>
  <si>
    <t>ò</t>
  </si>
  <si>
    <t>Einheitswert des Ausgangsbetriebes</t>
  </si>
  <si>
    <t>Spalte den Hektarsatz ein.</t>
  </si>
  <si>
    <t>abgerundet auf
volle 100</t>
  </si>
  <si>
    <t>Änderung</t>
  </si>
  <si>
    <t>2/3/voll</t>
  </si>
  <si>
    <t>Betriebsbeitrag</t>
  </si>
  <si>
    <t>Betriebsbeitrag und Unfallversicherung</t>
  </si>
  <si>
    <t>der Ehegatte bzw. eingetragene Partner</t>
  </si>
  <si>
    <t>Kinder, Enkel, Wahl-, Stief- und Schwiegerkinder</t>
  </si>
  <si>
    <t>Die bäuerliche Unfallversicherung beinhaltet einige Besonderheiten. So ist der Kreis der pflichtversicherten und damit bei Arbeitsunfällen und Berufskrankheiten geschützten Personen sehr groß, sofern diese im landwirtschaftlichen Betrieb mittätig werden, z.B. Sohn wohnt in St.Pölten und hilft am Wochenende auf dem elterlichen Betrieb im Waldviertel bei der Holzarbeit. Neben dem Betriebsführer gilt dies für folgende seiner Verwandten:</t>
  </si>
  <si>
    <t>Eltern, Großeltern, Stief- und Schwiegereltern sowie Geschwister des Betriebsführers</t>
  </si>
  <si>
    <t>In der bäuerlichen Unfallversicherung ist - unabhängig von der Anzahl der in der UV pflichtversicherten Personen und ob der Betrieb von einer oder mehreren Personen geführt wird - immer nur ein Beitrag für einen landwirtschaftlichen Betrieb zu entrichten, der sog. Betriebsbeitrag. Dieser beträgt 1,90 % der Beitragsgrundlage.</t>
  </si>
  <si>
    <t>Berechnungsmöglichkeit für Zu-/Verpachtungen etc.</t>
  </si>
  <si>
    <t>Fläche in ha</t>
  </si>
  <si>
    <t>Hektarsatz</t>
  </si>
  <si>
    <t>Einheitswert(anteil)</t>
  </si>
  <si>
    <t>Berechnung zu-/Verpachtung</t>
  </si>
  <si>
    <t>Zupachtung</t>
  </si>
  <si>
    <t>Verpachtung</t>
  </si>
  <si>
    <t>Zukauf</t>
  </si>
  <si>
    <t>Verkauf</t>
  </si>
  <si>
    <t>Art der Änderung</t>
  </si>
  <si>
    <t>Einheitswertsumme der Veränderungen ohne Förderungsanteil</t>
  </si>
  <si>
    <t>Einheitswertsumme der Veränderungen inkl. Förderungsanteil</t>
  </si>
  <si>
    <t>Hinweis: Die Änderung des im EHW erfassten Förderungsanteils wird sozialversicherungsrechtlich erst mit dem der Zustellung des diese Änderung betreffenden Wertfortschreibungsbescheides folgen-den Kalendervierteljahr wirksam!</t>
  </si>
  <si>
    <t>zuzüglich/abzüglich Anteil öffentlicher Gelder (33% der Zahlungsansprüche)</t>
  </si>
  <si>
    <t>Berücksichtigung von öffentlichen Geldern</t>
  </si>
  <si>
    <t>Die Zuschläge für öffentliche Gelder stellen betriebsbezogene Zuschläge dar und verbleiben im Falle einer Verpachtung, Rücklassung von Pachtflächen oder Veräußerung von Teilflächen - bis zu einer Neubewertung durch das Finanzamt in Form eines Wertfortschreibungsbescheides - beim bisherigen Bewirtschafter. Beim neuen Bewirtschafter (z.B. Pächter) sind die diese Flächen betreffenden öffentlichen Gelder erst zu berücksichtigen, wenn es bei ihm zu einer Neubewertung in Form eines Wertfortschreibungsbescheides kommt. Sozialversicherungsrechtlich wirksam werden dies Neubewertungen mit dem 1. Tag des Kalendervierteljahres, welches der Zustellung des Wertfortschreibungsbescheides folgt.</t>
  </si>
  <si>
    <t xml:space="preserve">Wird der gesamte Betrieb an einen Übernehmer oder eine Übernehmergemeinschaft (z.B. an Sohn und Schwiegertochter) übergeben, so sind auch sämtliche Zuschläge und damit auch die Zuschläge für öffentliche Gelder mit zu übertragen. Einer gänzlichen Übertragung gleichzuhalten ist auch die Zurückbehaltung von geringfügigen Restflächen (z.B. Kleinwald mit EHW unter EUR 150,00 oder die Haus- und Hoffläche) oder die Weitergabe solcher Flächen an Dritte (z.B. Wohnhaus samt Garten an ein weichendes Kind), wenn für diese Flächen keine Förderungen beantragt werden oder eine Intensivbewirtschaftung dieser Flächen erfolgt.  </t>
  </si>
  <si>
    <t>Wird nur ein Teil eines Betriebes übergeben - auch wenn es sich dabei um eine eigene Einheit mit eigenem Einheitswertbescheid handelt - sind die Zuschläge für öffentliche Gelder nicht an den neuen Eigentümer zu übertragen. Wie oben ausgeführt werden die öffentlichen Gelder erst im Zuge einer Wertfortschreibung berücksichtigt.</t>
  </si>
  <si>
    <t xml:space="preserve">Besondere Regelungen sind bei Betriebsverringerungen im Zusammenhang mit einem Wechsel in die Pension (z.B. Verringerung des EHW auf unter EUR 1.500,00) vorgesehen. Ausführungen dazu würden an dieser Stelle zu weit führen und unterbleiben deshalb. </t>
  </si>
  <si>
    <t>Nachstehend können Betriebsveränderungen durch Zu- oder Verpachtungen, Zu- oder Verkäufe etc. berechnet werden. Die notwendigen Flächenausmaße und dazugehörenden Hektarsätze sowie der sich allenfalls ändernde Förderungsanteil müssen selbst erhoben werden.</t>
  </si>
  <si>
    <t>Bei Änderung der Kulturart, Wegfall von Sonderkulturen (Wegfall der Zuschläge) oder Änderung des im Einheitswert miterfassten 33%-Anteils an öffentlichen Geldern gilt der bisherige Einheitswert bis zum Ende des Kalendervierteljahres, in dem der diese Änderung berücksichtigende Einheitswertbescheid zugestellt wird. Der Einheitswert von Flächen, die in Bauplätze, Schottergruben, Campingplätze, Lagerplätze u. dgl. umgewandelt werden, ist mit dem folgenden Monatsersten abzuziehen, ab dem diese Flächen nicht mehr land(forst)wirtschaftlich genutzt werden.</t>
  </si>
  <si>
    <t>Der Beitragssatz in der KV betrug bis 31.12. 2019 7,65%.</t>
  </si>
  <si>
    <t>Das Beitragsberechnungsprogramm kann nur Einnahmen aus bäuerlichen Nebentätigkeiten berücksichtigen, deren Beitragsgrundlagen auf Basis der "70/30-Regel" berechnet werden. Dabei ist der Bruttojahresumsatz inkl. einer allfällig in Rechnung gestellten Umsatzsteuer, Kilometergelder etc. heranzuziehen. Davon sind 70% pauschal als Ausgaben abzuziehen, bei bestimmten Nebentätigkeiten (z.B. Be- und Verarbeitung; siehe dazu unten) ist vorher noch ein Freibetrag in Abzug zu bringen. Der verbleibende Rest ergibt die Beitragsgrundlage für das Kalenderjahr, welche im gegenständlichen Beitragsberechnungsprogramm immer automatisch durch 12 geteilt wird. Ein unterjähriger Beginn bzw unterjähriges Ende der Nebentätigkeit werden im Programm nicht berücksichtigt, in diesen Fällen sind die maßgeblichen Einnahmen auf die Monate der tatsächlichen Ausübung umzulegen. Unter das 70%-Ausgabenpauschale fallen auch Aufwendungen für Fahrtkosten (= Kilometergelder), Abschreibungen für Maschinen oder etwa für die Umsatzsteuer hinein, weshalb diese Beträge auch beim Gesamtbruttoumsatz zu berücksichtigen sind.</t>
  </si>
  <si>
    <t xml:space="preserve">Beitragsberechnungsprogramm der bäuerlichen Sozialversicherung </t>
  </si>
  <si>
    <t>Beitragsberechnungsprogramm der bäuerlichen Sozialversicherung</t>
  </si>
  <si>
    <t>Der Einheitswert ist ein vom Finanzamt zur Steuerbemessung bescheidmäßig  festgestellter  Wert,  der  die  Ertragsfähigkeit  des land(forst)wirtschaftlichen  Vermögens  ausdrückt.  Der  Einheitswert  der land(forst)wirtschaftlichen  Flächen  wird  im  Einheitswertbescheid  ausgewiesen. Die Feststellung des Einheitswertes obliegt den Finanzämtern, die SVS ist an den EHW-Bescheid gebunden.</t>
  </si>
  <si>
    <t>inflationsangepasst werden. Bei den Leistungen (z.B. bei Arzttarifen oder den Pensionen etc.) wird aber die Inflation berücksichtigt und erhöht den jährlichen Leistungsaufwand.
Daher muss dies auch auf der Beitragsseite erfolgen.</t>
  </si>
  <si>
    <t>Ein Antrag auf Beitragsgrundlagenoption ist bis zum 30. April des dem Beitragsjahr folgenden Jahres, ab dem die Option wirksam werden soll, bei der SVS zu stellen. Wird der land(forst)wirtschaftliche Betrieb auf gemeinsame Rechnung und Gefahr mehrerer Personen geführt, muss der Antrag auf Beitragsgrundlagenoption von allen Betriebsführern gestellt bzw. diesem zugestimmt werden.</t>
  </si>
  <si>
    <t>Dabei ist zu beachten, dass ein Widerruf spätestens bis zum 30. April des der Änderung folgenden Beitragsjahres bei der SVS einlangen muss.</t>
  </si>
  <si>
    <t>Bei mehrfachversicherten Nebenerwerbslandwirten (z.B. Angestellter und Landwirt) sind Beiträge - im Durchschnitt auf ein Kalenderjahr gerechnet - in der Kranken- und Pensionsversicherung insgesamt nur bis zur Höchstbeitragsgrundlage zu entrichten. Werden Beiträge über die Höchstbeitragsgrundlage hinaus entrichtet, sind diese in einem bestimmten Ausmaß rückzuerstatten. Das gegenständliche Beitragsberechnungsprogramm kann solche Konstellationen nicht berücksichtigen. Nähere Informationen erhalten Sie im Internet bzw. direkt in Ihrer Landesstelle oder auf einem unserer Beratungstage.</t>
  </si>
  <si>
    <t xml:space="preserve">Diese Personen müssen, wenn Sie mithelfen, nicht extra bei der SVS "angemeldet" werden, der Versicherungsschutz entsteht mit dem Mittätigwerden im land(forst)wirtschaftlichen Betrieb. </t>
  </si>
  <si>
    <t xml:space="preserve">Für Lebensgefährten des Betriebsführeres oder etwa eines Kindes sowie auch für Pflegekinder besteht seit 01.01.2015 die Möglichkeit der Einbeziehung in die freiwillige Selbstversicherung in der Unfallversicherung. Nähere Informationen erhalten Sie dazu in Ihrer Landesstelle oder bei einem unserer Beratungstage in Ihrer Nähe. </t>
  </si>
  <si>
    <t>An dieser Stelle kann im Zusammenhang mit der Berücksichtigung von öffentlichen Geldern nur ein kurzer Überblick gegeben werden, da die Regelungen im Detail einigermaßen kompliziert sind. Für genauere Informationen im konkreten Einzelfall stehen Ihnen unsere Beraterinnen und Berater auf den Beratungstagen der SVS oder in den Landesstellen gerne zur Verfügung.</t>
  </si>
  <si>
    <r>
      <rPr>
        <b/>
        <u/>
        <sz val="11"/>
        <rFont val="Arial"/>
        <family val="2"/>
      </rPr>
      <t>Zu beachten:</t>
    </r>
    <r>
      <rPr>
        <sz val="11"/>
        <rFont val="Arial"/>
        <family val="2"/>
      </rPr>
      <t xml:space="preserve">
Ab 2020 ist bei hauptberuflich beschäftigten Kindern, Wahlkindern, Enkeln, Schwieger-kindern sowie Stiefkindern des Betriebsführers bis zur Vollendung des 27. Lebensjahres in der Pensionsversicherung die halbe Beitragsgrundlage zu Grunde zu legen. Dadurch wird ein höherer Betrag auf dem Pensionskonto gutgeschrieben und dies verbessert die spätere Pensionsleistung. 
Da die Differenz auf die 1/3-Beitragsgrundlage vom Bund übernommen wird (= keine Auswirkung auf die Beitragsleistung durch den Betriebsführer), erfolgt die Beitragsberechnung für diese Kinder im Berechnungprogramm weiterhin auf Basis der 1/3-Beitragsgrundlage!</t>
    </r>
  </si>
  <si>
    <t>Berechnungsprogramm für SV-Beiträge nach dem BSVG</t>
  </si>
  <si>
    <t>Information zum Programm</t>
  </si>
  <si>
    <t>Info</t>
  </si>
  <si>
    <t>Allgemeine Info</t>
  </si>
  <si>
    <t>Bedienungshilfen &amp; Navigation</t>
  </si>
  <si>
    <t>Updates &amp; Programmdaten</t>
  </si>
  <si>
    <t>Bearbeitungsfenster</t>
  </si>
  <si>
    <t>Bezeichnung</t>
  </si>
  <si>
    <t>Link für Navigation</t>
  </si>
  <si>
    <t>Beiträge aktueller Betrieb</t>
  </si>
  <si>
    <r>
      <t xml:space="preserve">Vergleichsbetrieb </t>
    </r>
    <r>
      <rPr>
        <b/>
        <u/>
        <sz val="10"/>
        <color indexed="43"/>
        <rFont val="Wingdings"/>
        <charset val="2"/>
      </rPr>
      <t>à</t>
    </r>
  </si>
  <si>
    <t>Hinweis allgemeine Bedienung</t>
  </si>
  <si>
    <t>Keine Updates im Programm.</t>
  </si>
  <si>
    <r>
      <t xml:space="preserve">Ausgangsbetrieb </t>
    </r>
    <r>
      <rPr>
        <b/>
        <u/>
        <sz val="10"/>
        <color indexed="43"/>
        <rFont val="Wingdings"/>
        <charset val="2"/>
      </rPr>
      <t>à</t>
    </r>
  </si>
  <si>
    <t>Zum Aufrufen von Informationen zu den in den dunkelroten bzw. dunkelblauen Balken genannten Themen ist auf das jeweilige Kästchen in Spalte "Info" zu klicken. Zu beachten ist, dass nur ein Kästchen aktiviert wird, um den gewünschten Inhalt aufzurufen, eine allfällige Fehlbedienung wird unter "Information zum Programm" eingeblendet.</t>
  </si>
  <si>
    <r>
      <t xml:space="preserve">Beiträge aus dem Einheitswert </t>
    </r>
    <r>
      <rPr>
        <b/>
        <u/>
        <sz val="10"/>
        <color indexed="43"/>
        <rFont val="Wingdings"/>
        <charset val="2"/>
      </rPr>
      <t>à</t>
    </r>
  </si>
  <si>
    <r>
      <t xml:space="preserve">Beiträge aus Nebentätigkeiten </t>
    </r>
    <r>
      <rPr>
        <b/>
        <u/>
        <sz val="10"/>
        <color indexed="43"/>
        <rFont val="Wingdings"/>
        <charset val="2"/>
      </rPr>
      <t>à</t>
    </r>
  </si>
  <si>
    <r>
      <t xml:space="preserve">Mindest-Beitragsgrundlagen </t>
    </r>
    <r>
      <rPr>
        <b/>
        <u/>
        <sz val="10"/>
        <color indexed="43"/>
        <rFont val="Wingdings"/>
        <charset val="2"/>
      </rPr>
      <t>à</t>
    </r>
  </si>
  <si>
    <r>
      <t xml:space="preserve">Höchst-Beitragsgrundlagen </t>
    </r>
    <r>
      <rPr>
        <b/>
        <u/>
        <sz val="10"/>
        <color indexed="43"/>
        <rFont val="Wingdings"/>
        <charset val="2"/>
      </rPr>
      <t>à</t>
    </r>
  </si>
  <si>
    <r>
      <t xml:space="preserve">Hauptberuflich 
beschäftigte Angehörige </t>
    </r>
    <r>
      <rPr>
        <b/>
        <u/>
        <sz val="10"/>
        <color indexed="43"/>
        <rFont val="Wingdings"/>
        <charset val="2"/>
      </rPr>
      <t>à</t>
    </r>
  </si>
  <si>
    <t>Navigation zu</t>
  </si>
  <si>
    <t>A</t>
  </si>
  <si>
    <t>B</t>
  </si>
  <si>
    <t>C</t>
  </si>
  <si>
    <t>D</t>
  </si>
  <si>
    <t>E</t>
  </si>
  <si>
    <t>F</t>
  </si>
  <si>
    <t>J</t>
  </si>
  <si>
    <t>Beiträge aus dem Einheitswert - so geht`s:</t>
  </si>
  <si>
    <t>Zusätzliche Beiträge aus Nebentätigkeiten</t>
  </si>
  <si>
    <t>- Geben Sie einen Einheitswert wie unter "Beiträge aus 
    dem Einheitswert" beschrieben ein, wählen Sie Jahr 
    und Art der Betriebsführung.
- Geben Sie in den gelben Feldern "B", "C" und "D" unter 
   "Jahresumsatz bei Nebentätigkeiten" je nach Art der 
   Nebentätigkeit - "Be- und Verarbeitung", "Urlaub am 
   Bauernhof" und "Sonstige Nebentätigkeiten" - den 
   jeweiligen Jahresbruttoumsatz ohne Abzug allfälliger 
   Freibeträge (werden automatisch je nach Art der 
   Nebentätigkeit berücksichtigt) ein.
- Das Programm berücksichtigt keinen unterjährigen 
   Beginn und kein unterjähriges Ende, sondern teilt 
   die sich ergebende Jahresbeitragsgrundlage immer 
   durch 12.</t>
  </si>
  <si>
    <t>Bedienungshinweise zum Vergleichsbetrieb</t>
  </si>
  <si>
    <t>Was kann verglichen werden?</t>
  </si>
  <si>
    <t>Änderungen durch Nebentätigkeiten</t>
  </si>
  <si>
    <t>Änderung der Betriebsführungsform</t>
  </si>
  <si>
    <t>- Geben Sie Ihre Daten im Ausgangsbetrieb ein und 
   wechseln Sie zum Vergleichsbetrieb.
- Wählen Sie das gleiche Kalenderjahr wie beim 
   Ausgangsbetrieb im Auswahlfeld "J" aus.
- Geben Sie im gelben Feld "A" neben "Bitte Einheits-
   wert eingeben" den gewünschten, geänderten Ein-
   heitswert ein. Dieser ist immer abgerundet auf volle 
   Hunderter zu berücksichtigen. Wird ein ungerundeter
   EHW eingegeben, rundet das Programm automa-
   tisch auf volle Hunderter ab.
-  In der Zeile "Ausgangsbetrieb" ist der dort eingege-
   bene Einheitswert ersichtlich, daneben wird der 
   Mehr- oder Minderbeitrag in gelber Schrift ausge-
   wiesen.</t>
  </si>
  <si>
    <t>â</t>
  </si>
  <si>
    <t>ß</t>
  </si>
  <si>
    <t>Þ</t>
  </si>
  <si>
    <t>Ý</t>
  </si>
  <si>
    <t>Betriebsführung mit einem Miteigentümer</t>
  </si>
  <si>
    <t xml:space="preserve">Auswirkungen einer hauptb. Beschäftigung </t>
  </si>
  <si>
    <t xml:space="preserve">- Geben Sie Einheitswert, allfällige Umsätze aus Neben-
   tätigkeiten sowie das entsprechende Jahr im Aus-
   gangsbetrieb (und wenn ein Vergleich gewollt ist 
   ident auch im Vergleichsbetrieb) ein. 
-  Wählen Sie die Art der Betriebsführung; bei Eingabe 
   der 1/2-1/2-Miteigentumsbetriebsführung (z.B. Sohn 
   mit Mutter) wird der Beitrag des/der ausgewählten 
   hauptberuflich beschäftigten Angehörigen nur von 
   einer Betriebshälfte errechnet (eine hbf. Beschäfti-
   gung ist nur in einem Betrieb möglich).
-  Wählen Sie die hauptberuflich beschäftigten Ange-
   hörigen im Auswahlfeld aus:
   # hauptberuflich beschäftigtes Kind
   # hauptberuflich beschäftigtes Kind + Schwiegerkind
   # hauptberuflich beschäftigtes Kind unter 18
   # hauptberuflich beschäftigte(r) ÜbergeberIn
-  Der Beitragsaufwand für den/die hauptberuflich 
   Beschäftigten wird eingeblendet.
-  Bei Eingabe im Vergleichsbetrieb ist der sich zu 
   den Angaben im Ausgangsbetrieb ergebende 
   Beitrags-Mehr- oder Minderaufwand in gelb 
   ersichtlich.
</t>
  </si>
  <si>
    <t>- Geben Sie Einheitswert, allfällige Umsätze aus Neben-
   tätigkeiten sowie das Vorjahr mit dem Auswahlfeld
   "J" im Ausgangsbetrieb  ein. 
- Wählen Sie die Art der Betriebsführung sowie einen 
  allfälligen hauptberuflich beschäftigten Angehörigen
  im Ausgangsbetrieb aus. 
- Geben Sie den gleichen Einheitswert, die gleichen 
  Nebentätigkeitsumsätze sowie die gleiche Art der 
  Betriebsführung und die gleiche Angehörigenkon-
  stellation im Vergleichsbetrieb ein.
- Wählen Sie im Vergleichsbetrieb das aktuelle Jahr im
  Auswahlfeld "J" aus. Der Mehrbeitrag ist im Ver-
  gleichsbetriebfenster in gelb ersichtlich.</t>
  </si>
  <si>
    <t>Auswirkungen der jährlichen Aufwertung etc.</t>
  </si>
  <si>
    <t>Auswirkungen Zu-/Verpachtung etc.</t>
  </si>
  <si>
    <r>
      <t xml:space="preserve">Zu-/Verpachtung 
Zu-/Verkauf - Berechnung </t>
    </r>
    <r>
      <rPr>
        <b/>
        <u/>
        <sz val="10"/>
        <color indexed="43"/>
        <rFont val="Wingdings"/>
        <charset val="2"/>
      </rPr>
      <t>à</t>
    </r>
  </si>
  <si>
    <r>
      <t xml:space="preserve">Info öffentliche Gelder </t>
    </r>
    <r>
      <rPr>
        <b/>
        <u/>
        <sz val="10"/>
        <color indexed="43"/>
        <rFont val="Wingdings"/>
        <charset val="2"/>
      </rPr>
      <t>à</t>
    </r>
  </si>
  <si>
    <t>- Geben Sie den Einheitswert sowie das entsprechende 
   Jahr im Ausgangsbetrieb ein. 
-  Geben Sie allfällige Umsätze aus Nebentäigkeiten ein 
   und wählen Sie die Art der Betriebsführung; für einen 
   sinnvollen Vergleich der Auswirkungen sollten diese 
   Daten (wie auch das Jahr) im Vergleichsbetrieb 
   gleich sein.
- Geben Sie im gelben Feld "A" neben "Bitte Einheits-
  wert eingeben" den gewünschten, geänderten Ein-
  heitswert ein. Dieser ist immer abgerundet auf volle 
  Hunderter zu berücksichtigen. Wird ein ungerundeter
  EHW eingegeben, rundet das Programm automatisch 
  auf volle Hunderter ab.
- Im Bearbeitungsfenster "Zu-/Verpachtung Zu-/Verkauf - 
  Berechnung" - in der nebenstehenden Navigations-
  spalte (rot) aufrufbar - besteht die Möglichkeit, den auf-
  grund der Betriebsgrößenänderung ergebenden Ein-
  heitswert zu berechnen. Geben Sie den dort errechne-
  ten geänderten Einheitswert im Vergleichsbetrieb ein.
- In der Zeile "Ausgangsbetrieb" sehen Sie die Grund-
  daten, die Sie dort eingegeben haben. Weiters sehen    
  Sie in dieser Zeile die monatliche Beitragssumme 
  bzw. den Quartalsbeitrag des Ausgangsbetriebes und 
  darunter in gelber Schrift den jeweiligen Mehr- oder 
  Minderbeitrag gegenüber dem Vergleichsbetrieb.</t>
  </si>
  <si>
    <t>Zu-/Verpachtung etc. - Berechnung</t>
  </si>
  <si>
    <t xml:space="preserve">- Es besteht die Möglichkeit, 6 verschiedene Flächen-
  ausmaße samt dazugehörenden Hektarsätzen einzu-
  geben. 
- Es kann für jeden Fall durch Klicken auf das Auswahl-
  feld unter "Art der Änderung" eingegeben werden, 
  ob es sich um eine Zu- oder Verpachtung, einen Zu- 
  oder Verkauf handelt. 
- Bei Zupachtungen kann unter "2/3/voll" eine 2/3-
  Pachtanrechnung bei Pachtung von Fremden durch 
  Klicken auf das jeweilige Kästchen aktiviert werden.
- Allenfalls zu berücksichtigende öffentliche Gelder 
  können ins dafür vorgesehene gelbe Feld rechts unten
  eingetragen werden. Infos dazu können über die Navi-
  gationsspalte ("Info öffentliche Gelder") aufgerufen
  werden.
- Die Summe der geänderten Einheitswertanteile wird 
  dem im Ausgangsbetrieb eingegebenen Einheitswert 
  hinzugerechnet. Die Summe wird auf volle 100 abge-
  rundet.
- Wechseln Sie nun durch Klicken auf "Vergleichsbe-
  betrieb" in der Navigationsspalte zum Vergleichstrieb
  und geben Sie den errechneten Einheitswert dort ein.
- Der Vergleich zum Ausgangsbetrieb ist dann in 
  diesem Bearbeitungsfenster ersichtlich. 
 </t>
  </si>
  <si>
    <r>
      <t xml:space="preserve">Zurück zu Zu-/Verpachtung 
Zu-/Verkauf - Berechnung </t>
    </r>
    <r>
      <rPr>
        <b/>
        <u/>
        <sz val="10"/>
        <color indexed="43"/>
        <rFont val="Wingdings"/>
        <charset val="2"/>
      </rPr>
      <t>à</t>
    </r>
  </si>
  <si>
    <r>
      <t xml:space="preserve">Beitragsgrundlage &amp; Beitragssatz </t>
    </r>
    <r>
      <rPr>
        <b/>
        <u/>
        <sz val="10"/>
        <color indexed="43"/>
        <rFont val="Wingdings"/>
        <charset val="2"/>
      </rPr>
      <t>à</t>
    </r>
  </si>
  <si>
    <r>
      <t xml:space="preserve">Mindest-Beitragsgrundlagen </t>
    </r>
    <r>
      <rPr>
        <b/>
        <u/>
        <sz val="10"/>
        <color indexed="43"/>
        <rFont val="Wingdings"/>
        <charset val="2"/>
      </rPr>
      <t>à</t>
    </r>
  </si>
  <si>
    <r>
      <t xml:space="preserve">Zu-/Verpachtung 
Zu-/Verkauf - Info </t>
    </r>
    <r>
      <rPr>
        <b/>
        <u/>
        <sz val="10"/>
        <color indexed="43"/>
        <rFont val="Wingdings"/>
        <charset val="2"/>
      </rPr>
      <t>à</t>
    </r>
  </si>
  <si>
    <r>
      <t xml:space="preserve">Ausgangsbetrieb </t>
    </r>
    <r>
      <rPr>
        <b/>
        <u/>
        <sz val="10"/>
        <color indexed="43"/>
        <rFont val="Wingdings"/>
        <charset val="2"/>
      </rPr>
      <t>à</t>
    </r>
  </si>
  <si>
    <r>
      <t xml:space="preserve">Vergleichsbetrieb </t>
    </r>
    <r>
      <rPr>
        <b/>
        <u/>
        <sz val="10"/>
        <color indexed="43"/>
        <rFont val="Wingdings"/>
        <charset val="2"/>
      </rPr>
      <t>à</t>
    </r>
  </si>
  <si>
    <t xml:space="preserve">Zusätzliche Informationen zur Berechung der Beiträge zur bäuerlichen Sozialversicherung finden Sie auf der Homepage der SVS unter www.svs.at.     </t>
  </si>
  <si>
    <t>Das Beitragsberechnungsprogramm enthält unter "Zu-/Verpachtung Zu-/Verkauf - Berechnung" eine einfache Berechnungsmöglichkeit für Zu-/Verpachtungen bzw. bei Erwerb oder Veräußerung von land(forst)wirtschaftlichen Flächen.</t>
  </si>
  <si>
    <t>Werden land(forst)wirtschaftliche Flächen zugepachtet oder verpachtet bzw. zugekauft oder verkauft, so ist dies bei der Ermittlung des Gesamteinheitswertes, der der Beitragsgrundlagenberechnung (nähere Infos unter "Beiträge aus dem Einheitswert") zu Grunde liegt, zu berücksichtigen.</t>
  </si>
  <si>
    <t xml:space="preserve">Änderungen des Einheitswertes auf Grund von Verpachtung, Zupachtung, Erwerb oder Veräußerung von land(forst)-wirtschaftlichen  Flächen  werden mit dem ersten  Tag des  Kalendermonates wirksam, der der Änderung folgt. Hin-sichtlich der Berücksichtigung öffentlicher Gelder gibt es Sonderregelungen. Nähere Infos in der Navigationsspalte unter "Änderungen des Einheitswertes" bzw. "Info öffentliche Gelder" aufrufbar. </t>
  </si>
  <si>
    <r>
      <t xml:space="preserve">Betriebsbeitrag </t>
    </r>
    <r>
      <rPr>
        <b/>
        <u/>
        <sz val="10"/>
        <color indexed="43"/>
        <rFont val="Wingdings"/>
        <charset val="2"/>
      </rPr>
      <t>à</t>
    </r>
  </si>
  <si>
    <r>
      <t xml:space="preserve">Wird der land(forst)wirtschaftliche Betrieb von Ehegatten (oder eingetragenen Partnern) auf gemeinsame Rechnung und Gefahr geführt, so wird die sich aus dem gesamten Einheitswert ergebende Beitragsgrundlage für die Berechnung der Beiträge aus der Kranken- und Pensionsversicherung geteilt ("Halbe-Halbe bei Ehegatten"). In der Unfallversicherung wird der </t>
    </r>
    <r>
      <rPr>
        <b/>
        <sz val="11"/>
        <rFont val="Arial"/>
        <family val="2"/>
      </rPr>
      <t>Betriebsbeitrag</t>
    </r>
    <r>
      <rPr>
        <sz val="11"/>
        <rFont val="Arial"/>
        <family val="2"/>
      </rPr>
      <t xml:space="preserve"> (Info über Navigationsspalte) von der Gesamtbeitragsgrundlage errechnet und einem der beiden Ehegatten vorgeschrieben.</t>
    </r>
  </si>
  <si>
    <t>Bei gemeinsamer Betriebsführung von Nicht-Ehegatten (z.B. Sohn mit Mutter) wird der Einheitswert entsprechend geteilt und dann aus dem jeweiligen Einheitswertteil eine Beitragsgrundlage für die Kranken- und Pensionsversicherung ermittelt (im Berechnungsprogramm ist nur eine 1/2-1/2 - Aufteilung möglich). In der Unfallversicherung wird die Beitragsgrundlage vom  Gesamteinheitswert  errechnet  und  der Betriebsbeitrag einem der Miteigentümer vorgeschrieben.</t>
  </si>
  <si>
    <r>
      <t xml:space="preserve">Bei der Festlegung der Beitragsgrundlage sind - je nach Konstellation bzw. bei hauptberuflich beschäftigten Angehörigen - unterschiedliche </t>
    </r>
    <r>
      <rPr>
        <b/>
        <sz val="11"/>
        <rFont val="Arial"/>
        <family val="2"/>
      </rPr>
      <t xml:space="preserve">Mindestbeitragsgrundlagen </t>
    </r>
    <r>
      <rPr>
        <sz val="11"/>
        <rFont val="Arial"/>
        <family val="2"/>
      </rPr>
      <t xml:space="preserve">und auch unterschiedliche </t>
    </r>
    <r>
      <rPr>
        <b/>
        <sz val="11"/>
        <rFont val="Arial"/>
        <family val="2"/>
      </rPr>
      <t>Höchstbeitragsgrundlagen</t>
    </r>
    <r>
      <rPr>
        <sz val="11"/>
        <rFont val="Arial"/>
        <family val="2"/>
      </rPr>
      <t xml:space="preserve"> gesetzlich vorgesehen (Info über Navigationsspalte).</t>
    </r>
  </si>
  <si>
    <r>
      <t xml:space="preserve">Heranzuziehender Einheitswert </t>
    </r>
    <r>
      <rPr>
        <b/>
        <u/>
        <sz val="10"/>
        <color indexed="43"/>
        <rFont val="Wingdings"/>
        <charset val="2"/>
      </rPr>
      <t>à</t>
    </r>
  </si>
  <si>
    <r>
      <t xml:space="preserve">Für die Berechnung der  Sozialversicherungsbeiträge  sind  die  gesetzlich  vorgesehenen  </t>
    </r>
    <r>
      <rPr>
        <b/>
        <sz val="11"/>
        <rFont val="Arial"/>
        <family val="2"/>
      </rPr>
      <t xml:space="preserve">Beitragssätze </t>
    </r>
  </si>
  <si>
    <t>(forst)wirtschaftlichen Betrieb errechnende Beitragsgrundlage zu multiplizieren (nähere Info über "Beitragsgrundlage &amp; Beitragssatz" in der Navigationsspalte).</t>
  </si>
  <si>
    <t>zusätzlichen Infos</t>
  </si>
  <si>
    <t>zurück zu</t>
  </si>
  <si>
    <t>Navigation</t>
  </si>
  <si>
    <r>
      <t xml:space="preserve">Die Beitragsgrundlage aus dem </t>
    </r>
    <r>
      <rPr>
        <b/>
        <sz val="11"/>
        <rFont val="Arial"/>
        <family val="2"/>
      </rPr>
      <t xml:space="preserve">Einheitswert </t>
    </r>
    <r>
      <rPr>
        <sz val="11"/>
        <rFont val="Arial"/>
        <family val="2"/>
      </rPr>
      <t>(</t>
    </r>
    <r>
      <rPr>
        <b/>
        <sz val="11"/>
        <rFont val="Arial"/>
        <family val="2"/>
      </rPr>
      <t>"Versicherungswert"</t>
    </r>
    <r>
      <rPr>
        <sz val="11"/>
        <rFont val="Arial"/>
        <family val="2"/>
      </rPr>
      <t>; weitere</t>
    </r>
    <r>
      <rPr>
        <b/>
        <sz val="11"/>
        <rFont val="Arial"/>
        <family val="2"/>
      </rPr>
      <t xml:space="preserve"> </t>
    </r>
    <r>
      <rPr>
        <sz val="11"/>
        <rFont val="Arial"/>
        <family val="2"/>
      </rPr>
      <t>Info unter "Heranzuziehender Einheitswert" in der Navigationsspalte</t>
    </r>
    <r>
      <rPr>
        <b/>
        <sz val="11"/>
        <rFont val="Arial"/>
        <family val="2"/>
      </rPr>
      <t>)</t>
    </r>
    <r>
      <rPr>
        <sz val="11"/>
        <rFont val="Arial"/>
        <family val="2"/>
      </rPr>
      <t xml:space="preserve"> wird nicht durch Teilung des Einheitswertes etwa durch 12 ermittelt, sondern durch im Gesetz festgelegte, degressiv gestaffelte Prozentsätze für bestimmte Einheitswertteile. Herangezogen wird der auf volle Hunderter abgerundete Einheitswert:</t>
    </r>
  </si>
  <si>
    <t>Basis für die Berechnung der Beitragsgrundlagen ("Versicherungswert") nach dem BSVG ist der für einen land(forst)wirtschaftlichen Betrieb festgestellte Einheitswert.</t>
  </si>
  <si>
    <t>Infos zu den mit dem Beitragsberechnungsprogramm nicht berechenbaren Varianten der Beitragsberechnung für Einnahmen aus bäuerlichen Nebentätigkeiten ("Kleine Option" oder "Beitragsgrundlagenoption") können in der Navigationsspalte aufgerufen werden.</t>
  </si>
  <si>
    <r>
      <t xml:space="preserve">Mindest-Beitragsgrundlagen </t>
    </r>
    <r>
      <rPr>
        <b/>
        <u/>
        <sz val="10"/>
        <color indexed="43"/>
        <rFont val="Wingdings"/>
        <charset val="2"/>
      </rPr>
      <t>à</t>
    </r>
  </si>
  <si>
    <r>
      <t xml:space="preserve">Die sich so für Nebentätigkeiten ergebende Beitragsgrundlage ist der sich aus dem Einheitswert ergebenden Beitragsgrundlage maximal bis zur </t>
    </r>
    <r>
      <rPr>
        <b/>
        <sz val="11"/>
        <rFont val="Arial"/>
        <family val="2"/>
      </rPr>
      <t>Höchstbeitrags-grundlage</t>
    </r>
    <r>
      <rPr>
        <sz val="11"/>
        <rFont val="Arial"/>
        <family val="2"/>
      </rPr>
      <t xml:space="preserve"> hinzuzurechnen, wobei die Anwendung einer </t>
    </r>
    <r>
      <rPr>
        <b/>
        <sz val="11"/>
        <rFont val="Arial"/>
        <family val="2"/>
      </rPr>
      <t>Mindestbeitragsgrundlage</t>
    </r>
    <r>
      <rPr>
        <sz val="11"/>
        <rFont val="Arial"/>
        <family val="2"/>
      </rPr>
      <t xml:space="preserve"> erst nach der Zusammenrechnung zu prüfen ist.</t>
    </r>
  </si>
  <si>
    <r>
      <t xml:space="preserve">Kleine Option </t>
    </r>
    <r>
      <rPr>
        <b/>
        <u/>
        <sz val="10"/>
        <color indexed="43"/>
        <rFont val="Wingdings"/>
        <charset val="2"/>
      </rPr>
      <t>à</t>
    </r>
  </si>
  <si>
    <r>
      <t xml:space="preserve">Beitragsgrundlagen-Option </t>
    </r>
    <r>
      <rPr>
        <b/>
        <u/>
        <sz val="10"/>
        <color indexed="43"/>
        <rFont val="Wingdings"/>
        <charset val="2"/>
      </rPr>
      <t>à</t>
    </r>
  </si>
  <si>
    <t>Seit dem Jahr 2001 hat der Betriebsführer die Möglichkeit, dass für die Bildung der Beitragsgrundlage nach dem BSVG anstelle des Versicherungswertes, die im Einkommensteuerbescheid ausgewiesenen Einkünfte aus Land(forst)wirtschaft herangezogen werden (Beitragsgrundlagenoption). Beitragsgrundlage sind dann die im jeweiligen Kalenderjahr auf einen Kalendermonat im Durchschnitt entfallenden Einkünfte, die im Einkommensteuerbescheid als Einkünfte für Land- und Forstwirtschaft ausgewiesen sind, zuzüglich der im Beitragsjahr vorgeschriebenen Beiträge zur Kranken- und Pensionsversicherung (welche in der Einkommensteuererklärung einen Abzugsposten darstellen).</t>
  </si>
  <si>
    <t>Der Einheitswert ist ein vom Finanzamt für Steuerzwecke festgestellter Wert, der die Ertragsfähigkeit des land(forst)-wirtschaftlichen Betriebes ausdrückt. Der Einheitswert wird aufgrund von im Gesetz festgelegte gestaffelten Prozentsätzen in eine monatliche Beitragsgrundlage umgerechnet.</t>
  </si>
  <si>
    <t>Für Einnahmen aus bäuerlichen Nebentätigkeiten sind zusätzliche Beitragsgrundlagen zu ermitteln, wobei diesbezüglich Wahlmöglichkeiten gegeben sind. Diese Beitragsgrundlagen sind  den  aus  dem  Einheitswert</t>
  </si>
  <si>
    <t xml:space="preserve">Der Betriebsführer hat die Möglichkeit, seine Beitragsgrundlage mittels "Kleiner Option" oder Beitragsgrundlagen-Option statt auf Basis des Einheitswertes aufgrund seiner im Einkommensteuerbescheid ausgewiesenen Einkünfte aus Land(Forst)wirtschaft feststellen zu lassen (Info in der Navigationsspalte unter "Kleiner Option" bzw.  "Beitragsgrundlagen-Option" aufrufbar). </t>
  </si>
  <si>
    <r>
      <t xml:space="preserve">Beiträge aus dem Einheitswert </t>
    </r>
    <r>
      <rPr>
        <b/>
        <u/>
        <sz val="10"/>
        <color indexed="43"/>
        <rFont val="Wingdings"/>
        <charset val="2"/>
      </rPr>
      <t>à</t>
    </r>
  </si>
  <si>
    <t xml:space="preserve">Die Höchstbeitragsgrundlage stellt die Obergrenze bei der Berechnung der Beiträge dar. Sie leitet sich von der für Unselbständige geltenden Höchstbeitragsgrundlage ab, da dort Sonderzahlungen anfallen, ist die monatliche Höchstbeitragsgrundlage bei den Selbständigen höher (= x 14 : 12). Auf das Jahr gerechnet ist die Höchstbeitragsgrundlage somit für ASVG-Versicherte, Bauern und Selbständige gleich hoch. </t>
  </si>
  <si>
    <r>
      <t xml:space="preserve">Zusätzliche Beiträge entstehen nur in der Kranken- und Pensionsversicherung, die Unfallversicherung ist mit dem </t>
    </r>
    <r>
      <rPr>
        <b/>
        <sz val="11"/>
        <rFont val="Arial"/>
        <family val="2"/>
      </rPr>
      <t>Betriebsbeitrag</t>
    </r>
    <r>
      <rPr>
        <sz val="11"/>
        <rFont val="Arial"/>
        <family val="2"/>
      </rPr>
      <t>, den der Betriebsführer zu entrichten hat, bereits abgegolten.</t>
    </r>
  </si>
  <si>
    <r>
      <t xml:space="preserve">Für hauptberuflich Beschäftigte gelten </t>
    </r>
    <r>
      <rPr>
        <b/>
        <sz val="11"/>
        <rFont val="Arial"/>
        <family val="2"/>
      </rPr>
      <t>besondere Mindest- und Höchstbeitragsgrundlagen.</t>
    </r>
  </si>
  <si>
    <r>
      <t xml:space="preserve">Einstiegsbildschirm </t>
    </r>
    <r>
      <rPr>
        <b/>
        <u/>
        <sz val="10"/>
        <color theme="9" tint="0.59999389629810485"/>
        <rFont val="Wingdings"/>
        <charset val="2"/>
      </rPr>
      <t>à</t>
    </r>
  </si>
  <si>
    <r>
      <t xml:space="preserve">Info öffentliche Gelder </t>
    </r>
    <r>
      <rPr>
        <b/>
        <u/>
        <sz val="10"/>
        <color theme="7" tint="0.59999389629810485"/>
        <rFont val="Wingdings"/>
        <charset val="2"/>
      </rPr>
      <t>à</t>
    </r>
  </si>
  <si>
    <t>Allerdings sind einem solchen Programm durch die angesprochene Komplexität des bäuerlichen Versicherungs- und Beitragsrechts auch Grenzen gesetzt. 
Im Zusammenhang mit bäuerlichen Nebentätigkeiten kann nur eine Berechnung auf Basis des Jahresumsatzes ("70-30-Regel") durchgeführt werden. Nicht berechnet werden können daher Beiträge für Nebentätigkeiten auf Basis der  "kleinen Option" sowie Beiträge bei Betrieben mit Beitragsgrundlagenoption - Gesamtbetrieb ("große Option"), da dafür der individuelle Einkommensteuer-Bescheid maßgeblich ist. 
Nicht berücksichtigt werden auch allfällige Auswirkungen einer pflichtversicherten außerlandwirtschaftlichen Beschäftigung (z.B. unselbständige Beschäftigung) auf die Beitragsleistung durch insgesamte Überschreitung der Höchstbeitragsgrundlage. Ebenfalls unberücksichtigt bleibt eine allenfalls noch vorhandene Ausnahme von der bäuerlichen Krankenversicherung. 
Bei hauptberuflich beschäftigten Angehörigen kann nur 1 Person (bzw. Kind und Schwiegerkind) in der Berechnung berücksichtigt werden. Letztlich ist eine auch gemeinsame Betriebsführung mit einer anderen Person (nicht der Ehegatte bzw. eingetragene Partner) nur für eine 1/2-1/2-Konstellation berechenbar. Andere Konstellationen sind in der Praxis eher selten und wurden daher nicht berücksichtigt.</t>
  </si>
  <si>
    <t xml:space="preserve">B I T T E   B E A C H T E N   S I E : 
Für eine korrekte Berechnung der Pflichtversicherungsbeiträge ist eine Vielzahl von Daten erforderlich bzw. sind viele unterschiedliche Situationen möglich, die ermittelten Ergebnisse sind daher unverbindlich! </t>
  </si>
  <si>
    <t>Beitragsberechnung Ausgangsbetrieb</t>
  </si>
  <si>
    <t>Beitragsberechnung Vergleichsbetrieb</t>
  </si>
  <si>
    <t>Berechnung von Zu-/Verpachtungen etc.</t>
  </si>
  <si>
    <t>Beiträge aus Nebentätigkeiten</t>
  </si>
  <si>
    <t>Info von Zu-/Verpachtungen etc.</t>
  </si>
  <si>
    <t>Hauptberuflich beschäftigte Angehörige</t>
  </si>
  <si>
    <t>Mindest-Beitragsgrundlage</t>
  </si>
  <si>
    <t>Höchst-Beitragsgrundlage</t>
  </si>
  <si>
    <r>
      <t xml:space="preserve">Zu-/Verpachtung etc. Info </t>
    </r>
    <r>
      <rPr>
        <b/>
        <u/>
        <sz val="10"/>
        <color theme="7" tint="0.59999389629810485"/>
        <rFont val="Wingdings"/>
        <charset val="2"/>
      </rPr>
      <t>à</t>
    </r>
  </si>
  <si>
    <r>
      <t xml:space="preserve">Hauptb. beschäftigte Angehörige </t>
    </r>
    <r>
      <rPr>
        <b/>
        <u/>
        <sz val="10"/>
        <color theme="7" tint="0.59999389629810485"/>
        <rFont val="Wingdings"/>
        <charset val="2"/>
      </rPr>
      <t>à</t>
    </r>
  </si>
  <si>
    <t>Dieses Bearbeitungsfenster ist eines der beiden Hauptfenster des Programms. In diesem können die Daten für den aktuellen Betrieb eingegeben bzw. durch Auswahl in den dafür vorgesehenen Auswahlfeldern aufgerufen werden:
- Jahr (Berechnungen können für allfällige Vergleiche ab dem Jahr 2014 geführt
  werden)
- Einheitswert
- Umsätze für Nebentätigkeiten (bei Nebentätigkeiten ist nur eine Berechnung 
  auf Basis der "70-30-Regel" möglich)
- Art der Betriebsführung (z.B. alleinige Betriebsführung oder gemeinsam unter 
  Ehegatten)
- Eingabe eines hauptberuflich beschäftigten Angehörigen bzw. von Kind und 
  Schwiegerkind
Die entsprechenden Berechnungsergebnisse werden dann eingeblendet.
Es kann aus Gründen der Übersichtlichkeit nur ein hauptberuflich beschäftigter Angehöriger (bzw. Kind und Schwiegerkind) erfasst werden. Für mehrere Angehörige steht das Bearbeitungsfenster "Übersicht" zur Verfügung. 
Ab 2020 ist bei hbf. besch. Kindern bis zum 27. Lj. in der PV die halbe BTG zu Grunde zu legen. Da die Differenz auf die 1/3-BTG vom Bund übernommen wird, bleibt die Kinder-BTG im Berechnungsprogramm weiterhin immer bei der 1/3-BTG, da sich die Beitragsbelastung für den Betrieb nicht ändert. Die Auswirkungen werden jedoch im Bearbeitungsfenster "Beitrag und Pension" beachtet.</t>
  </si>
  <si>
    <t xml:space="preserve">In diesem Bearbeitungsfenster können Zu-/Verpachtungen bzw. Zu-/Verkäufe anhand von Hektarsätzen und Flächenangaben unter Berücksichtigung allfälliger Förderungen errechnet werden. </t>
  </si>
  <si>
    <t>In diesem Bearbeitungsfenster können die Beiträge für einen Vergleichsbetrieb mit gegenüber dem Ausgangsbetrieb abgeänderten Daten errechnet werden. Die Änderung kann sich auf einen Parameter (z.B. nur höherer Einheitswert) oder auch auf mehrere Parameter (z.B. höherer Einheitswert und Beginn einer hauptberuflichen Beschäftigung eines Angehörigen). 
Auf der Bearbeitungsseite ist rechts neben der Navigationsspalte im Bearbeitungshinweis ersichtlich, was zwischen den beiden Betrieben verglichen werden kann. Dort sind dazu vorhandene zusätzliche Bedienungshinweise aufrufbar.
Das Ergebnis des Vergleiches wird samt entsprechender Vergleichsdaten des Ausgangsbetriebes zusätzlich zur Berechnung für den Vergleichsbetrieb eingeblendet.</t>
  </si>
  <si>
    <r>
      <t xml:space="preserve">Vergleichsbetrieb </t>
    </r>
    <r>
      <rPr>
        <b/>
        <u/>
        <sz val="10"/>
        <color theme="7" tint="0.59999389629810485"/>
        <rFont val="Wingdings"/>
        <charset val="2"/>
      </rPr>
      <t>à</t>
    </r>
  </si>
  <si>
    <t>Dieses Informationsfenster gibt Auskunft darüber, wie sich der zu entrichtende Beitrag aus den dafür maßgeblichen Komponenten Beitragsgrundlage und Beitragssatz zusammen setzt.</t>
  </si>
  <si>
    <t>Die Informationsseite enthält weiterführende Informationen darüber, wie sich Zu-/Verpachtungen oder Zu-/Verkäufe auf den heranzuziehenden Einheitswert auswirken.</t>
  </si>
  <si>
    <t>In diesem Informationsfenster sind die Regelungen betreffend die heranzuziehenden Mindest-Beitragsgrundlagen näher erläutert.</t>
  </si>
  <si>
    <t>Dieses Informationsfenster gibt Auskunft über die Anwendung der Höchst-Beitragsgrundlage im Beitragssystem des BSVG.</t>
  </si>
  <si>
    <t xml:space="preserve">Folgende Eingaben sind unbedingt erforderlich:
- Wählen Sie das gewünschte Kalenderjahr im Auswahl-
   feld "J" aus (ab 2014 möglich).
- Geben Sie im gelben Feld "A" den Einheitswert (z.B. 
  22500) abgerundet auf volle Hunderter ein, wird ein 
  ungerundeter EHW eingegeben, erfolgt die Berech-
  nung auf Basis des abgerundeten Wertes.
- Wählen Sie die Art der Betriebsführung im Auswahlfeld
   "E" aus:
   # alleinige Betriebsführung
   # 1/2-1/2 - Betriebsführung gemeinsam mit Ehegatten 
      bzw. eingetragenem Partner
   # hauptberufliche Beschäftigung des Ehegatten (im 
      Ergebnis praktisch gleich wie gemeinsamer 
      Betriebsführung, außer bei Betrieben mit einem 
      EHW unter EUR 1.500,00)
   # 1/2 - 1/2 - Betriebsführung mit Nicht-Ehegatten 
      (z.B. Sohn mit Mutter).
Bei Bedarf kann mit dem Auswahlfeld "F" ein hauptbe-
ruflich beschäftigter Angehöriger (bzw. Kind und Schwie-
gerkind) in der Berechnung berücksichtigt werden.
 </t>
  </si>
  <si>
    <t>Mit Eingaben im Fenster Vergleichsbetrieb können folgende Veränderungen und deren Auswirkungen auf die zu entrichtenden Beiträge gegenüber dem Ausgangsbetrieb errechnet und dargestellt werden: 
-  Auswirkung von Einheitswertänderungen (z.B. durch 
   EHW-Hauptfeststellung)
-  Auswirkung von Einnahmen aus bäuerlichen 
   Nebentätigkeiten
-  Auswirkung einer Änderung der Betriebsführungsform
-  Auswirkung der Betriebsführung mit einem 
   Miteigentümer (z.B. Sohn gemeinsam mit Mutter)
-  Auswirkungen einer hauptberuflichen Beschäftigung 
   eines Angehörigen
-  Auswirkungen der jährlichen Aufwertung bei der Berech-
   nung der Beitragsgrundlage bzw. einer allfälligen gesetz-
   lichen Änderung z.B. der Beitragssätze
-  Auswirkung von Zu- und/oder Verpachtungen bzw. 
   Zukäufen, Verkäufen Nutzungsvereinbarungen etc.
Nähere Infos zur Bedienung können durch Klicken auf das jeweilige Kästchen links neben dem Text aufgerufen werden.</t>
  </si>
  <si>
    <t>-  Geben Sie den gleichen Einheitswert wie im Aus-
   gangsbetrieb im Vergleichsbetrieb wie unter "Beiträge 
   aus dem Einheitswert" beschrieben ein, wählen Sie 
   Jahr und Art der Betriebsführung (gleich wie im Aus-
   gangsbetrieb).
-  Geben Sie in den gelben Feldern "B", "C" und/oder
   "D" unter "Jahresumsatz bei Nebentätigkeiten" je 
   nach Art der Nebentätigkeit - "Be- und Verarbeitung", 
   "Urlaub am Bauernhof" und Sonstige Nebentätigkei-
   ten" - den jeweiligen Jahresbruttoumsatz ohne Abzug 
   allfälliger Freibeträge (werden automatisch je nach Art
   der Nebentätigkeit berücksichtigt) ein.
- Das Programm berücksichtigt keinen unterjährigen 
  Beginn und kein unterjähriges Ende, sondern teilt 
  die sich ergebende Jahresbeitragsgrundlage immer 
  durch 12.
-  In der Zeile "Ausgangsbetrieb" ist der dort eingege-
   bene Umsatz ersichtlich, daneben wird der Mehr- 
   oder Minderbeitrag in gelber Schrift ausgewiesen.</t>
  </si>
  <si>
    <t>- Geben Sie den gleichen Einheitswert wie im Aus-
   gangsbetrieb im Vergleichsbetrieb wie unter "Beiträge 
  aus dem Einheitswert" beschrieben ein, wählen Sie 
  Jahr und Art der Betriebsführung (gleich wie im Aus-
  gangsbetrieb).
- Wählen Sie die Art der geänderten Betriebsführung im 
   Auswahlfeld "E" aus.
- In der Zeile "Ausgangsbetrieb" sehen Sie die Grund-
  daten (EHW, Umsatz Nebentätigkeiten), die Sie dort 
  eingegeben haben, sowie einen Hinweis auf die Art 
  der Betriebsführung. Weiters sehen Sie in dieser 
  Zeile die monatliche Beitragssumme bzw. den Quartals-
  beitrag des Ausgangsbetriebes und darunter in gelber
  Schrift den jeweiligen Mehr- oder Minderbeitrag gegen-
  über dem Vergleichsbetrieb.</t>
  </si>
  <si>
    <t>- Geben Sie den gleichen Einheitswert wie im Aus-
   gangsbetrieb im Vergleichsbetrieb wie unter "Beiträge 
  aus dem Einheitswert" beschrieben ein, wählen Sie 
  Jahr und Art der Betriebsführung (gleich wie im Aus-
  gangsbetrieb).
- Wählen Sie die Auswahlfeld "E" (Art der geänderten 
  Betriebsführung) die Möglichkeit "Betriebsführung mit 
  anderer Person (1/2 - 1/2)" aus.
- Mit dem Beitragsberechnungsprogramm ist nur eine 
  1/2-1/2-Miteigentumssituation berechenbar. Für 
  andere  Verhältnisse wenden Sie sich an Ihre zu-
  ständige Landesstelle oder besuchen Sie den 
  Beratungstag der SVS in Ihrer Nähe.
- In der Zeile "Ausgangsbetrieb" sehen Sie die Grund-
  daten (EHW, Umsatz Nebentätigkeiten), die Sie dort 
  eingegeben haben, sowie einen Hinweis auf die Art 
  der Betriebsführung. Weiters sehen Sie in dieser 
  Zeile die monatliche Beitragssumme bzw. den Quartals-
  beitrag des Ausgangsbetriebes und darunter in gelber
  Schrift den jeweiligen Mehr- oder Minderbeitrag gegen-
  über dem Vergleichsbetrieb.</t>
  </si>
  <si>
    <t xml:space="preserve">
Mit dem Beitragsberechnungsprogramm  können die nach dem BSVG (Bauern-Sozialversicherungsgesetz) zu entrichtenden Beiträge für einen land(forst)-wirtschaftlichen Betrieb durch Eingabe des Einheitswertes errechnet werden. 
Allerdings ist das Versicherungs- und Beitragsrecht der bäuerlichen Sozialversicherung sehr komplex, weshalb mit dem Programm auch Auswirkungen von Veränderungen der Betriebsgröße, der Art der Betriebsführung oder durch Hinzukommen oder Wegfallen von hauptberuflich im land(forst)wirtschaftlichen Betrieb beschäftigten Angehörigen errechnet und dargestellt werden können.
Das Programm bietet folgende Möglichkeiten:
- Es kann die Beitragsbelastung für einen land(forst)wirtschaftlichen Betrieb inkl. 
  allfälliger Nebentätigkeiten und unter Berücksichtigung der Art der Betriebsführung
 (z.B. alleinige Betriebsführung oder gemeinsame Betriebsführung unter Ehegatten 
  sowie eventueller hauptberuflich beschäftigter Angehöriger berechnet werden.
- Parallel kann ein Vergleichsbetrieb mit einzelnen oder mehreren geänderten 
  Datengrundlagen (z.B. mit geändertem Einheitswert oder einfacher Vergleich mit 
  dem Vorjahr) berechnet werden, der dabei entstehende Mehr- oder Minderbeitrag 
  wird detailliert ausgewiesen. 
- Auswirkungen von Betriebsänderungen durch Zu- oder Verkäufe bzw. Zu- oder 
  Verpachtungen auf den für die Beitragsberechnung maßgeblichen Einheitswert 
  können in einem zusätzlichen Bearbeitungsfenster berechnet werden.
Das Programm beinhaltet viele zusätzliche Informationen zum bäuerlichen Versicherungs- und Beitragsrecht, die bei Bedarf neben der eigentlichen Eingabe aufgerufen werden können.</t>
  </si>
  <si>
    <t xml:space="preserve">Das Programm beinhaltet verschiedene Bearbeitungsfenster sowie diverse Informationsfenster ("Fragen &amp; Antworten"), die Navigation zwischen den Fenstern erfolgt über die in jedem Fenster vorhandenen Links in gelber Schrift mit Pfeil in einer eigenen Navigationsspalte auf der Bildschirmseite rechts bzw. auf dem gegenständlichen Einstiegsbildschirm auf der linken Seite.
Folgende Bearbeitungsfenster stehen zur Verfügung:
- Beitragsberechnung Ausgangsbetrieb 
- Beitragsberechnung Vergleichsbetrieb
- Berechnung von Zu-/Verpachtungen etc.
Diese Bearbeitungsfenster sind durch die links neben dem Text ersichtlichen dazugehörenden Links aufrufbar. 
In den Bearbeitungsfenstern sind Bedienungshinweise enthalten, die durch Klicken auf diesbezügliche Kästchen rechts neben der Navigationsspalte ein- und ausgeblendet werden können.
Spezifische Bedienungshinweise können in jedem Bearbeitungsfenster bei Bedarf durch Klicken auf die dafür vorgesehenen Kästchen (im Regelfall am oberen Bildschirmrand rechts) ein- und ausgeblendet werden. 
Die direkt vom gegenständlichen Einstiegsbildschirm aufrufbaren Informationsseiten sind auf der linken Bildschirmseite ersichtlich. Auf manchen dieser Informationsseiten können zusätzliche, thematisch verbundene  Info-Seiten in der Navigationsspalte aufgerufen werden. Von jeder Bildschirmseite kann auf die Bearbeitungsfenster und den Einstiegsbildschirm gewechselt werden.   </t>
  </si>
  <si>
    <t>Dieses Informationsfenster beinhaltet eine detaillierte Darstellung samt einem Beispiel, wie die Berechnung der Beitragsgrundlage aus dem Einheitswert aufgrund der gesetzlichen Bestimmungen zu erfolgen hat. Es enthält auch Informationen zu den Beitragssätzen sowie zu den Auswirkungen der Art der Betriebsführung (allein oder gemeinsam mit anderen Personen) auf die Beitragsberechnung.
Die Informationsseite enthält in der Navigationsspalte auch einen Link zu weiterführenden Informationen darüber, wie sich Zu-/Verpachtungen oder Zu-/Verkäufe auf den heranzuziehenden Einheitswert auswirken. Von der Informationsseite über den heranzuziehenden Einheitswert kann dann über einen Link in deren Navigationsspalte noch eine weitere Information zur Wirksamkeit von Änderungen des Einheitswertes inklusive entsprechender Infos zur Einheitswert-Hauptfeststellung.
Mit einem weiteren Link kann eine Informationsseite zu den speziellen Regelungen für den Beitrag in der bäuerlichen Unfallversicherung ("Betriebsbeitrag") aufgerufen werden.</t>
  </si>
  <si>
    <t xml:space="preserve">Dieses Informationsfenster gibt Auskunft über Berücksichtigung von Einnahmen aus bäuerlichen Nebentätigkeiten im Rahmen der "70-30-Regelung". Mit dem Beitragsberechnungsprogramm kann nur diese Variante der Beitragsberechnung für Umsätze aus bäuerlichen Nebentätigkeiten gerechnet werden.
Die vom Betriebsführer wählbaren weiteren Varianten  - "kleine Option" und "Beitragsgrundlagenoption" - sind zu komplex und von zu vielen individuellen Faktoren abhängig, weshalb von einer Berechnungsmöglichkeit Abstand genommen wurde. Über die Navigationspalte des gegenständlichen Info-Fensters können zusätzliche, kurze Informationen zu den beiden Varianten aufgerufen werden. Es sollte aber jedenfalls im Vorfeld eine persönliche Beratung auf den Beratungstagen oder in den Landesstellen der SVS diesen Themenbereichen in Anspruch genommen werden.  </t>
  </si>
  <si>
    <t>Dieses Informationsfenster gibt Auskunft darüber, wer als hauptberuflich beschäftigter Angehöriger im land(forst)wirtschaftlichen Betrieb nach dem BSVG angemeldet werden kann und welche Regeln für solche Angehörige gelten.</t>
  </si>
  <si>
    <t xml:space="preserve">
Allgemeine Informationen zu den Bearbeitungs- und Informationsfenstern können durch Klicken auf das jeweilige Kästchen unter der Spalte "Info" links neben dem gegenständlichen Text eingeblendet werden. Es kann immer nur ein Kästchen aktiviert werden, sonst kann der jeweilige Text nicht eingeblendet werden. Eine entsprechende Fehlbedienungsmeldung wird links oben angezeigt.</t>
  </si>
  <si>
    <t>Einheitswerthauptfeststellung 2023 - sozialversicherungsrechtlich wirksam ab 01.01.2024</t>
  </si>
  <si>
    <r>
      <t xml:space="preserve">Änderungen des Einheitswertes &amp; Einheitswerthauptfeststellung </t>
    </r>
    <r>
      <rPr>
        <b/>
        <u/>
        <sz val="10"/>
        <color indexed="43"/>
        <rFont val="Wingdings"/>
        <charset val="2"/>
      </rPr>
      <t>à</t>
    </r>
  </si>
  <si>
    <t>Einheitswerthauptfeststellung 2023</t>
  </si>
  <si>
    <r>
      <t xml:space="preserve">Einheitswerthauptfeststellung </t>
    </r>
    <r>
      <rPr>
        <b/>
        <u/>
        <sz val="10"/>
        <color theme="7" tint="0.59999389629810485"/>
        <rFont val="Wingdings"/>
        <charset val="2"/>
      </rPr>
      <t>à</t>
    </r>
  </si>
  <si>
    <t>Änderungen des Einheitswertes &amp; Einheitswerthauptfeststellung</t>
  </si>
  <si>
    <t>Soweit nach sozialversicherungsrechtlichen Vorschriften Einheitswerte land(forst)wirtschaftlicher Betriebe heranzuziehen sind, sind Änderungen dieser Einheitswerte anlässlich der Hauptfeststellung zum 01.01.2023 für die Zeit vor dem 01.01.2024 nicht zu berücksichtigen. Erfolgt die Zustellung des Hauptfeststellungsbescheides erst nach dem 31.12.2023, so wird dieser erst mit dem der Zustellung folgenden Kalendervierteljahr sozialversicherungsrechtlich wirksam.</t>
  </si>
  <si>
    <t>Sollte es durch die Einheitswerthauptfeststellung ab 01.01.2024 zu einem Unterschreiten der Pflichtversicherungsgrenze von EUR 1.500,00 kommen, kann bis 31.12.2024 ein Antrag auf Beibehaltung der Pflichtversicherung gestellt werden. Diese Aufrechterhaltung der Pflichtversicherung kann zum Letzten eines jeden  Kalendermonats widerrufen werden.</t>
  </si>
  <si>
    <t>Bei der Bewertung sind bestimmte wiederkehrenden Direktzahlungen gesondert zu berücksichtigen. Diese öffentlichen Gelder sind in Höhe von 33 % der dem jeweiligen Betriebsinhaber für das Antragsjahr gewährten Erstauszahlung unter Berücksichtigung allfälliger Vorschusszahlungen anzusetzen.</t>
  </si>
  <si>
    <t>Stand dieser Version: Jänner 2024
Zum Zwecke einer besseren Lesbarkeit und da zudem der Platz für die jeweiligen Texte begrenzt ist, konnte nicht immer eine vollständig gendergerechte Textierung gewählt werden. Die in diesem Programm verwendeten Personenbezeichnungen beziehen sich – sofern nicht anders kenntlich gemacht – jedenfalls auf alle Geschlechter.</t>
  </si>
  <si>
    <t>Die zum 01.01.2023 durchgeführte Hauptfeststellung der Einheitswerte für land(forst)wirtschaftliche Betriebe beruht in erster Linie auf klimatischen Kriterien und der Neubewertung der Betriebsgröße. Finanzrechtlich wurden diese Hauptfeststellungsbescheide rückwirkend ab 01.01. 2023 wirksam. Es wurde daher - wie auch bei den Hauptfeststellungen in der Vergangenheit - wieder eine gesonderte sozialversicherungsrechtliche Wirksamkeitsregelung festgelegt, damit es zu keinen rückwirkenden Ausscheidungen/Einbeziehungen bezüglich der Pflichtversicherung bzw. Änderungen/Wegfall von Leistungen kommt.
Wie bereits im Rahmen der Hauptfeststellung 2014 konnte die KV/PV - Pflichtversicherung auf Antrag der versicherten Person beibehalten werden, wenn bei unveränderter Bewirtschaftung der Einheitswert die Versicherungsgrenze von EUR 1.500 unterschritten 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</si>
</sst>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00"/>
    <numFmt numFmtId="166" formatCode="0.0000"/>
    <numFmt numFmtId="167" formatCode="#,##0.000"/>
    <numFmt numFmtId="168" formatCode="#,##0.0000"/>
    <numFmt numFmtId="169" formatCode="0.00000%"/>
    <numFmt numFmtId="170" formatCode="\+#,##0.00;\-#,##0.00;#,##0.00"/>
  </numFmts>
  <fonts count="73" x14ac:knownFonts="1">
    <font>
      <sz val="11"/>
      <name val="Arial"/>
    </font>
    <font>
      <sz val="11"/>
      <name val="Arial"/>
      <family val="2"/>
    </font>
    <font>
      <b/>
      <sz val="12"/>
      <name val="Times New Roman"/>
      <family val="1"/>
    </font>
    <font>
      <sz val="11"/>
      <name val="Arial"/>
      <family val="2"/>
    </font>
    <font>
      <b/>
      <sz val="11"/>
      <name val="Arial"/>
      <family val="2"/>
    </font>
    <font>
      <sz val="11"/>
      <color indexed="10"/>
      <name val="Arial"/>
      <family val="2"/>
    </font>
    <font>
      <sz val="8"/>
      <name val="Arial"/>
      <family val="2"/>
    </font>
    <font>
      <u/>
      <sz val="11"/>
      <color indexed="12"/>
      <name val="Arial"/>
      <family val="2"/>
    </font>
    <font>
      <b/>
      <sz val="11"/>
      <color indexed="9"/>
      <name val="Arial"/>
      <family val="2"/>
    </font>
    <font>
      <sz val="11"/>
      <color indexed="9"/>
      <name val="Arial"/>
      <family val="2"/>
    </font>
    <font>
      <b/>
      <sz val="10"/>
      <color indexed="9"/>
      <name val="Arial"/>
      <family val="2"/>
    </font>
    <font>
      <sz val="11"/>
      <color indexed="9"/>
      <name val="Arial"/>
      <family val="2"/>
    </font>
    <font>
      <b/>
      <sz val="11"/>
      <color indexed="43"/>
      <name val="Arial"/>
      <family val="2"/>
    </font>
    <font>
      <b/>
      <i/>
      <sz val="11"/>
      <name val="Arial"/>
      <family val="2"/>
    </font>
    <font>
      <sz val="8"/>
      <color indexed="81"/>
      <name val="Tahoma"/>
      <family val="2"/>
    </font>
    <font>
      <b/>
      <i/>
      <sz val="8"/>
      <color indexed="16"/>
      <name val="Tahoma"/>
      <family val="2"/>
    </font>
    <font>
      <sz val="16"/>
      <name val="Arial"/>
      <family val="2"/>
    </font>
    <font>
      <b/>
      <sz val="16"/>
      <color indexed="47"/>
      <name val="Arial"/>
      <family val="2"/>
    </font>
    <font>
      <b/>
      <i/>
      <sz val="11"/>
      <color indexed="47"/>
      <name val="Arial"/>
      <family val="2"/>
    </font>
    <font>
      <i/>
      <sz val="10"/>
      <color indexed="45"/>
      <name val="Arial"/>
      <family val="2"/>
    </font>
    <font>
      <b/>
      <sz val="10"/>
      <name val="Arial"/>
      <family val="2"/>
    </font>
    <font>
      <b/>
      <sz val="8"/>
      <color indexed="10"/>
      <name val="Arial"/>
      <family val="2"/>
    </font>
    <font>
      <i/>
      <sz val="11"/>
      <name val="Arial"/>
      <family val="2"/>
    </font>
    <font>
      <b/>
      <sz val="16"/>
      <name val="Arial"/>
      <family val="2"/>
    </font>
    <font>
      <b/>
      <sz val="16"/>
      <color indexed="9"/>
      <name val="Arial"/>
      <family val="2"/>
    </font>
    <font>
      <b/>
      <sz val="16"/>
      <name val="Arial"/>
      <family val="2"/>
    </font>
    <font>
      <i/>
      <sz val="8"/>
      <name val="Arial"/>
      <family val="2"/>
    </font>
    <font>
      <i/>
      <sz val="8"/>
      <color indexed="10"/>
      <name val="Arial"/>
      <family val="2"/>
    </font>
    <font>
      <b/>
      <sz val="11"/>
      <color indexed="10"/>
      <name val="Arial"/>
      <family val="2"/>
    </font>
    <font>
      <sz val="11"/>
      <name val="Wingdings"/>
      <charset val="2"/>
    </font>
    <font>
      <sz val="10"/>
      <name val="Arial"/>
      <family val="2"/>
    </font>
    <font>
      <i/>
      <sz val="9"/>
      <name val="Arial"/>
      <family val="2"/>
    </font>
    <font>
      <sz val="8"/>
      <color indexed="10"/>
      <name val="Arial"/>
      <family val="2"/>
    </font>
    <font>
      <b/>
      <u/>
      <sz val="11"/>
      <name val="Arial"/>
      <family val="2"/>
    </font>
    <font>
      <b/>
      <u/>
      <sz val="10"/>
      <color indexed="43"/>
      <name val="Wingdings"/>
      <charset val="2"/>
    </font>
    <font>
      <sz val="10"/>
      <color indexed="16"/>
      <name val="Arial"/>
      <family val="2"/>
    </font>
    <font>
      <sz val="12"/>
      <name val="Arial"/>
      <family val="2"/>
    </font>
    <font>
      <b/>
      <sz val="12"/>
      <name val="Arial"/>
      <family val="2"/>
    </font>
    <font>
      <sz val="11"/>
      <color indexed="16"/>
      <name val="Arial"/>
      <family val="2"/>
    </font>
    <font>
      <sz val="11"/>
      <color indexed="16"/>
      <name val="Arial"/>
      <family val="2"/>
    </font>
    <font>
      <b/>
      <sz val="11"/>
      <name val="Wingdings"/>
      <charset val="2"/>
    </font>
    <font>
      <i/>
      <sz val="10"/>
      <name val="Arial"/>
      <family val="2"/>
    </font>
    <font>
      <sz val="11"/>
      <color rgb="FFFF0000"/>
      <name val="Arial"/>
      <family val="2"/>
    </font>
    <font>
      <sz val="11"/>
      <color theme="0"/>
      <name val="Arial"/>
      <family val="2"/>
    </font>
    <font>
      <b/>
      <sz val="16"/>
      <color theme="0"/>
      <name val="Arial"/>
      <family val="2"/>
    </font>
    <font>
      <sz val="8"/>
      <color theme="0"/>
      <name val="Arial"/>
      <family val="2"/>
    </font>
    <font>
      <sz val="11"/>
      <color rgb="FFFFFF00"/>
      <name val="Arial"/>
      <family val="2"/>
    </font>
    <font>
      <b/>
      <sz val="11"/>
      <color theme="0"/>
      <name val="Arial"/>
      <family val="2"/>
    </font>
    <font>
      <b/>
      <sz val="11"/>
      <color rgb="FF800000"/>
      <name val="Arial"/>
      <family val="2"/>
    </font>
    <font>
      <sz val="11"/>
      <color rgb="FF565650"/>
      <name val="Arial"/>
      <family val="2"/>
    </font>
    <font>
      <b/>
      <u/>
      <sz val="10"/>
      <color theme="7" tint="0.59999389629810485"/>
      <name val="Arial"/>
      <family val="2"/>
    </font>
    <font>
      <b/>
      <sz val="10"/>
      <color theme="0"/>
      <name val="Arial"/>
      <family val="2"/>
    </font>
    <font>
      <sz val="9"/>
      <color rgb="FF800000"/>
      <name val="Arial"/>
      <family val="2"/>
    </font>
    <font>
      <b/>
      <sz val="10"/>
      <color rgb="FF800000"/>
      <name val="Arial"/>
      <family val="2"/>
    </font>
    <font>
      <sz val="10"/>
      <color rgb="FF800000"/>
      <name val="Arial"/>
      <family val="2"/>
    </font>
    <font>
      <b/>
      <sz val="9"/>
      <color theme="7" tint="0.59999389629810485"/>
      <name val="Arial"/>
      <family val="2"/>
    </font>
    <font>
      <sz val="12"/>
      <color rgb="FFFF0000"/>
      <name val="Arial"/>
      <family val="2"/>
    </font>
    <font>
      <sz val="11"/>
      <color rgb="FFC00000"/>
      <name val="Arial"/>
      <family val="2"/>
    </font>
    <font>
      <sz val="10"/>
      <color theme="0"/>
      <name val="Arial"/>
      <family val="2"/>
    </font>
    <font>
      <sz val="10"/>
      <color theme="1"/>
      <name val="Arial"/>
      <family val="2"/>
    </font>
    <font>
      <b/>
      <sz val="11"/>
      <color theme="9" tint="0.79998168889431442"/>
      <name val="Arial"/>
      <family val="2"/>
    </font>
    <font>
      <b/>
      <sz val="10"/>
      <color theme="7" tint="0.59999389629810485"/>
      <name val="Arial"/>
      <family val="2"/>
    </font>
    <font>
      <b/>
      <sz val="14"/>
      <color theme="0"/>
      <name val="Arial"/>
      <family val="2"/>
    </font>
    <font>
      <b/>
      <sz val="12"/>
      <color theme="0"/>
      <name val="Arial"/>
      <family val="2"/>
    </font>
    <font>
      <sz val="11"/>
      <color rgb="FF800000"/>
      <name val="Arial"/>
      <family val="2"/>
    </font>
    <font>
      <b/>
      <sz val="11"/>
      <color rgb="FFFF0000"/>
      <name val="Arial"/>
      <family val="2"/>
    </font>
    <font>
      <b/>
      <sz val="11"/>
      <color theme="7" tint="0.59999389629810485"/>
      <name val="Arial"/>
      <family val="2"/>
    </font>
    <font>
      <b/>
      <sz val="11"/>
      <color theme="9" tint="0.39997558519241921"/>
      <name val="Wingdings"/>
      <charset val="2"/>
    </font>
    <font>
      <b/>
      <u/>
      <sz val="10"/>
      <color theme="9" tint="0.59999389629810485"/>
      <name val="Arial"/>
      <family val="2"/>
    </font>
    <font>
      <b/>
      <sz val="11"/>
      <color rgb="FFFFFF00"/>
      <name val="Arial"/>
      <family val="2"/>
    </font>
    <font>
      <b/>
      <u/>
      <sz val="10"/>
      <color theme="9" tint="0.59999389629810485"/>
      <name val="Wingdings"/>
      <charset val="2"/>
    </font>
    <font>
      <b/>
      <u/>
      <sz val="10"/>
      <color theme="7" tint="0.59999389629810485"/>
      <name val="Wingdings"/>
      <charset val="2"/>
    </font>
    <font>
      <b/>
      <sz val="10"/>
      <color theme="7" tint="0.39997558519241921"/>
      <name val="Arial"/>
      <family val="2"/>
    </font>
  </fonts>
  <fills count="2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47"/>
        <bgColor indexed="64"/>
      </patternFill>
    </fill>
    <fill>
      <patternFill patternType="solid">
        <fgColor indexed="16"/>
        <bgColor indexed="64"/>
      </patternFill>
    </fill>
    <fill>
      <patternFill patternType="solid">
        <fgColor indexed="62"/>
        <bgColor indexed="64"/>
      </patternFill>
    </fill>
    <fill>
      <patternFill patternType="solid">
        <fgColor indexed="20"/>
        <bgColor indexed="64"/>
      </patternFill>
    </fill>
    <fill>
      <patternFill patternType="solid">
        <fgColor indexed="44"/>
        <bgColor indexed="64"/>
      </patternFill>
    </fill>
    <fill>
      <patternFill patternType="solid">
        <fgColor indexed="52"/>
        <bgColor indexed="64"/>
      </patternFill>
    </fill>
    <fill>
      <patternFill patternType="solid">
        <fgColor indexed="59"/>
        <bgColor indexed="64"/>
      </patternFill>
    </fill>
    <fill>
      <patternFill patternType="solid">
        <fgColor indexed="23"/>
        <bgColor indexed="64"/>
      </patternFill>
    </fill>
    <fill>
      <patternFill patternType="solid">
        <fgColor indexed="50"/>
        <bgColor indexed="64"/>
      </patternFill>
    </fill>
    <fill>
      <patternFill patternType="solid">
        <fgColor rgb="FF5CB77A"/>
        <bgColor indexed="64"/>
      </patternFill>
    </fill>
    <fill>
      <patternFill patternType="solid">
        <fgColor rgb="FF565650"/>
        <bgColor indexed="64"/>
      </patternFill>
    </fill>
    <fill>
      <patternFill patternType="solid">
        <fgColor rgb="FF80000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522">
    <xf numFmtId="0" fontId="0" fillId="0" borderId="0" xfId="0"/>
    <xf numFmtId="0" fontId="0" fillId="0" borderId="0" xfId="0" applyAlignment="1">
      <alignment horizontal="center"/>
    </xf>
    <xf numFmtId="4" fontId="0" fillId="0" borderId="0" xfId="0" applyNumberFormat="1" applyAlignment="1">
      <alignment horizontal="center"/>
    </xf>
    <xf numFmtId="165" fontId="3" fillId="2" borderId="1" xfId="0" applyNumberFormat="1" applyFont="1" applyFill="1" applyBorder="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167" fontId="3" fillId="0" borderId="0" xfId="0" applyNumberFormat="1" applyFont="1" applyAlignment="1">
      <alignment horizontal="center"/>
    </xf>
    <xf numFmtId="4" fontId="3" fillId="0" borderId="0" xfId="0" applyNumberFormat="1" applyFont="1" applyAlignment="1">
      <alignment horizontal="center"/>
    </xf>
    <xf numFmtId="0" fontId="3" fillId="0" borderId="0" xfId="0" applyFont="1"/>
    <xf numFmtId="0" fontId="4" fillId="3" borderId="2" xfId="0" applyFont="1" applyFill="1" applyBorder="1" applyAlignment="1">
      <alignment horizontal="center" vertical="center"/>
    </xf>
    <xf numFmtId="4" fontId="4" fillId="3" borderId="2"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0" xfId="0" applyFont="1" applyAlignment="1">
      <alignment horizontal="center" vertical="center"/>
    </xf>
    <xf numFmtId="0" fontId="4" fillId="3" borderId="6" xfId="0" applyFont="1" applyFill="1" applyBorder="1" applyAlignment="1">
      <alignment horizontal="center" vertical="center"/>
    </xf>
    <xf numFmtId="4" fontId="4" fillId="3" borderId="6" xfId="0" applyNumberFormat="1" applyFont="1" applyFill="1" applyBorder="1" applyAlignment="1">
      <alignment horizontal="center" vertical="center"/>
    </xf>
    <xf numFmtId="0" fontId="3" fillId="3" borderId="1" xfId="0" applyFont="1" applyFill="1" applyBorder="1" applyAlignment="1">
      <alignment horizontal="center"/>
    </xf>
    <xf numFmtId="164" fontId="3" fillId="2" borderId="1" xfId="0" applyNumberFormat="1" applyFont="1" applyFill="1" applyBorder="1" applyAlignment="1">
      <alignment horizontal="center"/>
    </xf>
    <xf numFmtId="4" fontId="3" fillId="2" borderId="1" xfId="0" applyNumberFormat="1" applyFont="1" applyFill="1" applyBorder="1" applyAlignment="1">
      <alignment horizontal="center"/>
    </xf>
    <xf numFmtId="0" fontId="3" fillId="2" borderId="1" xfId="0" applyFont="1" applyFill="1" applyBorder="1" applyAlignment="1">
      <alignment horizontal="center"/>
    </xf>
    <xf numFmtId="2" fontId="3" fillId="2" borderId="1" xfId="0" applyNumberFormat="1" applyFont="1" applyFill="1" applyBorder="1" applyAlignment="1">
      <alignment horizontal="center"/>
    </xf>
    <xf numFmtId="4" fontId="3" fillId="4" borderId="1" xfId="0" applyNumberFormat="1" applyFont="1" applyFill="1" applyBorder="1" applyAlignment="1">
      <alignment horizontal="center"/>
    </xf>
    <xf numFmtId="165" fontId="3" fillId="4" borderId="1" xfId="0" applyNumberFormat="1" applyFont="1" applyFill="1" applyBorder="1" applyAlignment="1">
      <alignment horizontal="center"/>
    </xf>
    <xf numFmtId="166" fontId="3" fillId="2" borderId="1" xfId="0" applyNumberFormat="1" applyFont="1" applyFill="1" applyBorder="1" applyAlignment="1">
      <alignment horizontal="center"/>
    </xf>
    <xf numFmtId="0" fontId="3" fillId="2" borderId="1" xfId="0" applyFont="1" applyFill="1" applyBorder="1"/>
    <xf numFmtId="166" fontId="5" fillId="2" borderId="1" xfId="0" applyNumberFormat="1" applyFont="1" applyFill="1" applyBorder="1" applyAlignment="1">
      <alignment horizontal="center"/>
    </xf>
    <xf numFmtId="1" fontId="3"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3" borderId="7" xfId="0" applyFont="1" applyFill="1" applyBorder="1" applyAlignment="1">
      <alignment horizontal="center" vertical="center"/>
    </xf>
    <xf numFmtId="165" fontId="2" fillId="5" borderId="2" xfId="0" applyNumberFormat="1" applyFont="1" applyFill="1" applyBorder="1" applyAlignment="1">
      <alignment horizontal="center"/>
    </xf>
    <xf numFmtId="3" fontId="2" fillId="5" borderId="8" xfId="0" applyNumberFormat="1" applyFont="1" applyFill="1" applyBorder="1" applyAlignment="1">
      <alignment horizontal="center"/>
    </xf>
    <xf numFmtId="3" fontId="2" fillId="5" borderId="6" xfId="0" applyNumberFormat="1" applyFont="1" applyFill="1" applyBorder="1" applyAlignment="1">
      <alignment horizontal="center"/>
    </xf>
    <xf numFmtId="165" fontId="2" fillId="5" borderId="6" xfId="0" applyNumberFormat="1" applyFont="1" applyFill="1" applyBorder="1" applyAlignment="1">
      <alignment horizontal="center"/>
    </xf>
    <xf numFmtId="3" fontId="0" fillId="0" borderId="1" xfId="0" applyNumberFormat="1" applyBorder="1"/>
    <xf numFmtId="165" fontId="0" fillId="0" borderId="1" xfId="0" applyNumberFormat="1" applyBorder="1" applyAlignment="1">
      <alignment horizontal="center"/>
    </xf>
    <xf numFmtId="3" fontId="0" fillId="0" borderId="0" xfId="0" applyNumberFormat="1"/>
    <xf numFmtId="165" fontId="0" fillId="0" borderId="0" xfId="0" applyNumberFormat="1" applyAlignment="1">
      <alignment horizontal="center"/>
    </xf>
    <xf numFmtId="3" fontId="0" fillId="6" borderId="0" xfId="0" applyNumberFormat="1" applyFill="1"/>
    <xf numFmtId="0" fontId="4" fillId="0" borderId="0" xfId="0" applyFont="1"/>
    <xf numFmtId="0" fontId="4" fillId="7" borderId="0" xfId="0" applyFont="1" applyFill="1" applyAlignment="1">
      <alignment horizontal="center"/>
    </xf>
    <xf numFmtId="0" fontId="0" fillId="2" borderId="0" xfId="0" applyFill="1" applyAlignment="1">
      <alignment horizontal="center"/>
    </xf>
    <xf numFmtId="168" fontId="0" fillId="0" borderId="0" xfId="0" applyNumberFormat="1" applyAlignment="1">
      <alignment horizontal="center"/>
    </xf>
    <xf numFmtId="4" fontId="4" fillId="0" borderId="0" xfId="0" applyNumberFormat="1" applyFont="1" applyAlignment="1">
      <alignment horizontal="left"/>
    </xf>
    <xf numFmtId="165" fontId="4" fillId="4" borderId="0" xfId="0" applyNumberFormat="1" applyFont="1" applyFill="1" applyAlignment="1">
      <alignment horizontal="center"/>
    </xf>
    <xf numFmtId="0" fontId="0" fillId="2" borderId="1" xfId="0" applyFill="1" applyBorder="1" applyAlignment="1">
      <alignment horizontal="center"/>
    </xf>
    <xf numFmtId="0" fontId="4" fillId="4" borderId="0" xfId="0" applyFont="1" applyFill="1" applyAlignment="1">
      <alignment horizontal="center"/>
    </xf>
    <xf numFmtId="0" fontId="0" fillId="7" borderId="1" xfId="0" applyFill="1" applyBorder="1" applyAlignment="1">
      <alignment horizontal="center"/>
    </xf>
    <xf numFmtId="0" fontId="0" fillId="3" borderId="1" xfId="0" applyFill="1" applyBorder="1" applyAlignment="1">
      <alignment horizontal="center"/>
    </xf>
    <xf numFmtId="0" fontId="4" fillId="7" borderId="1" xfId="0" applyFont="1" applyFill="1" applyBorder="1" applyAlignment="1">
      <alignment horizontal="center"/>
    </xf>
    <xf numFmtId="10" fontId="3" fillId="2" borderId="1" xfId="0" applyNumberFormat="1" applyFont="1" applyFill="1" applyBorder="1" applyAlignment="1">
      <alignment horizontal="center"/>
    </xf>
    <xf numFmtId="0" fontId="0" fillId="2" borderId="1" xfId="0" quotePrefix="1" applyFill="1" applyBorder="1" applyAlignment="1">
      <alignment horizontal="center"/>
    </xf>
    <xf numFmtId="4" fontId="0" fillId="8" borderId="0" xfId="0" applyNumberFormat="1" applyFill="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4" fontId="4" fillId="7" borderId="0" xfId="0" applyNumberFormat="1" applyFont="1" applyFill="1" applyAlignment="1">
      <alignment horizontal="center"/>
    </xf>
    <xf numFmtId="4" fontId="3" fillId="2" borderId="0" xfId="0" applyNumberFormat="1" applyFont="1" applyFill="1" applyAlignment="1">
      <alignment horizontal="center"/>
    </xf>
    <xf numFmtId="4" fontId="3" fillId="3" borderId="0" xfId="0" applyNumberFormat="1" applyFont="1" applyFill="1" applyAlignment="1">
      <alignment horizontal="center"/>
    </xf>
    <xf numFmtId="4" fontId="3" fillId="8" borderId="0" xfId="0" applyNumberFormat="1" applyFont="1" applyFill="1" applyAlignment="1">
      <alignment horizontal="center"/>
    </xf>
    <xf numFmtId="10" fontId="0" fillId="4" borderId="1" xfId="0" applyNumberFormat="1" applyFill="1" applyBorder="1" applyAlignment="1">
      <alignment horizontal="center"/>
    </xf>
    <xf numFmtId="4" fontId="0" fillId="4" borderId="1" xfId="0" applyNumberFormat="1" applyFill="1" applyBorder="1" applyAlignment="1">
      <alignment horizontal="center"/>
    </xf>
    <xf numFmtId="4" fontId="4" fillId="4" borderId="2" xfId="0" applyNumberFormat="1" applyFont="1" applyFill="1" applyBorder="1" applyAlignment="1">
      <alignment horizontal="center"/>
    </xf>
    <xf numFmtId="4" fontId="4" fillId="4" borderId="1" xfId="0" applyNumberFormat="1" applyFont="1" applyFill="1" applyBorder="1" applyAlignment="1">
      <alignment horizontal="center"/>
    </xf>
    <xf numFmtId="0" fontId="4" fillId="8" borderId="1" xfId="0" applyFont="1" applyFill="1" applyBorder="1" applyAlignment="1">
      <alignment horizontal="center"/>
    </xf>
    <xf numFmtId="0" fontId="8" fillId="9" borderId="1" xfId="0" applyFont="1" applyFill="1" applyBorder="1" applyAlignment="1">
      <alignment horizontal="center" wrapText="1"/>
    </xf>
    <xf numFmtId="0" fontId="0" fillId="10" borderId="0" xfId="0" applyFill="1"/>
    <xf numFmtId="0" fontId="8" fillId="9" borderId="6" xfId="0" applyFont="1" applyFill="1" applyBorder="1" applyAlignment="1">
      <alignment horizontal="center" wrapText="1"/>
    </xf>
    <xf numFmtId="0" fontId="8" fillId="9" borderId="9" xfId="0" applyFont="1" applyFill="1" applyBorder="1"/>
    <xf numFmtId="0" fontId="9" fillId="9" borderId="10" xfId="0" applyFont="1" applyFill="1" applyBorder="1"/>
    <xf numFmtId="0" fontId="8" fillId="9" borderId="1" xfId="0" applyFont="1" applyFill="1" applyBorder="1"/>
    <xf numFmtId="4" fontId="0" fillId="10" borderId="0" xfId="0" applyNumberFormat="1" applyFill="1" applyAlignment="1">
      <alignment horizontal="center"/>
    </xf>
    <xf numFmtId="4" fontId="4" fillId="10" borderId="0" xfId="0" applyNumberFormat="1" applyFont="1" applyFill="1" applyAlignment="1">
      <alignment horizontal="center"/>
    </xf>
    <xf numFmtId="0" fontId="8" fillId="9" borderId="3" xfId="0" applyFont="1" applyFill="1" applyBorder="1"/>
    <xf numFmtId="0" fontId="9" fillId="9" borderId="5" xfId="0" applyFont="1" applyFill="1" applyBorder="1"/>
    <xf numFmtId="0" fontId="4" fillId="10" borderId="0" xfId="0" applyFont="1" applyFill="1"/>
    <xf numFmtId="0" fontId="9" fillId="10" borderId="0" xfId="0" applyFont="1" applyFill="1"/>
    <xf numFmtId="0" fontId="8" fillId="10" borderId="7" xfId="0" applyFont="1" applyFill="1" applyBorder="1"/>
    <xf numFmtId="0" fontId="8" fillId="11" borderId="0" xfId="0" applyFont="1" applyFill="1"/>
    <xf numFmtId="0" fontId="8" fillId="11" borderId="9" xfId="0" applyFont="1" applyFill="1" applyBorder="1"/>
    <xf numFmtId="0" fontId="9" fillId="11" borderId="10" xfId="0" applyFont="1" applyFill="1" applyBorder="1"/>
    <xf numFmtId="0" fontId="9" fillId="11" borderId="11" xfId="0" applyFont="1" applyFill="1" applyBorder="1"/>
    <xf numFmtId="4" fontId="0" fillId="12" borderId="1" xfId="0" applyNumberFormat="1" applyFill="1" applyBorder="1" applyAlignment="1">
      <alignment horizontal="center"/>
    </xf>
    <xf numFmtId="10" fontId="0" fillId="12" borderId="1" xfId="0" applyNumberFormat="1" applyFill="1" applyBorder="1" applyAlignment="1">
      <alignment horizontal="center"/>
    </xf>
    <xf numFmtId="4" fontId="9" fillId="9" borderId="10" xfId="0" applyNumberFormat="1" applyFont="1" applyFill="1" applyBorder="1" applyAlignment="1">
      <alignment horizontal="center"/>
    </xf>
    <xf numFmtId="0" fontId="10" fillId="9" borderId="1" xfId="0" applyFont="1" applyFill="1" applyBorder="1" applyAlignment="1">
      <alignment horizontal="center" vertical="center" wrapText="1"/>
    </xf>
    <xf numFmtId="0" fontId="0" fillId="10" borderId="0" xfId="0" applyFill="1" applyAlignment="1">
      <alignment horizontal="center"/>
    </xf>
    <xf numFmtId="0" fontId="0" fillId="7" borderId="0" xfId="0" applyFill="1" applyAlignment="1">
      <alignment horizontal="center"/>
    </xf>
    <xf numFmtId="0" fontId="0" fillId="0" borderId="0" xfId="0" applyAlignment="1">
      <alignment horizontal="left"/>
    </xf>
    <xf numFmtId="0" fontId="12" fillId="10" borderId="0" xfId="0" applyFont="1" applyFill="1"/>
    <xf numFmtId="0" fontId="13" fillId="13" borderId="0" xfId="0" applyFont="1" applyFill="1" applyAlignment="1">
      <alignment horizontal="center"/>
    </xf>
    <xf numFmtId="4" fontId="4" fillId="12" borderId="2" xfId="0" applyNumberFormat="1" applyFont="1" applyFill="1" applyBorder="1" applyAlignment="1">
      <alignment horizontal="center"/>
    </xf>
    <xf numFmtId="0" fontId="0" fillId="14" borderId="0" xfId="0" applyFill="1"/>
    <xf numFmtId="0" fontId="9" fillId="14" borderId="0" xfId="0" applyFont="1" applyFill="1"/>
    <xf numFmtId="4" fontId="9" fillId="14" borderId="0" xfId="0" applyNumberFormat="1" applyFont="1" applyFill="1" applyAlignment="1">
      <alignment horizontal="center"/>
    </xf>
    <xf numFmtId="0" fontId="0" fillId="14" borderId="0" xfId="0" applyFill="1" applyAlignment="1">
      <alignment horizontal="center"/>
    </xf>
    <xf numFmtId="4" fontId="0" fillId="14" borderId="0" xfId="0" applyNumberFormat="1" applyFill="1" applyAlignment="1">
      <alignment horizontal="center"/>
    </xf>
    <xf numFmtId="0" fontId="12" fillId="14" borderId="0" xfId="0" applyFont="1" applyFill="1"/>
    <xf numFmtId="4" fontId="4" fillId="14" borderId="0" xfId="0" applyNumberFormat="1" applyFont="1" applyFill="1" applyAlignment="1">
      <alignment horizontal="center"/>
    </xf>
    <xf numFmtId="0" fontId="11" fillId="14" borderId="0" xfId="0" applyFont="1" applyFill="1"/>
    <xf numFmtId="4" fontId="11" fillId="14" borderId="0" xfId="0" applyNumberFormat="1" applyFont="1" applyFill="1" applyAlignment="1">
      <alignment horizontal="center"/>
    </xf>
    <xf numFmtId="0" fontId="16" fillId="10" borderId="0" xfId="0" applyFont="1" applyFill="1"/>
    <xf numFmtId="0" fontId="16" fillId="14" borderId="0" xfId="0" applyFont="1" applyFill="1"/>
    <xf numFmtId="0" fontId="16" fillId="0" borderId="0" xfId="0" applyFont="1"/>
    <xf numFmtId="4" fontId="4" fillId="2" borderId="10" xfId="0" applyNumberFormat="1" applyFont="1" applyFill="1" applyBorder="1" applyAlignment="1" applyProtection="1">
      <alignment horizontal="center"/>
      <protection locked="0"/>
    </xf>
    <xf numFmtId="10" fontId="0" fillId="12" borderId="6" xfId="0" applyNumberFormat="1" applyFill="1" applyBorder="1" applyAlignment="1">
      <alignment horizontal="center"/>
    </xf>
    <xf numFmtId="0" fontId="11" fillId="9" borderId="11" xfId="0" applyFont="1" applyFill="1" applyBorder="1"/>
    <xf numFmtId="4" fontId="11" fillId="9" borderId="10" xfId="0" applyNumberFormat="1" applyFont="1" applyFill="1" applyBorder="1" applyAlignment="1">
      <alignment horizontal="center"/>
    </xf>
    <xf numFmtId="0" fontId="16" fillId="15" borderId="0" xfId="0" applyFont="1" applyFill="1"/>
    <xf numFmtId="0" fontId="16" fillId="15" borderId="0" xfId="0" applyFont="1" applyFill="1" applyAlignment="1">
      <alignment horizontal="center"/>
    </xf>
    <xf numFmtId="0" fontId="0" fillId="15" borderId="0" xfId="0" applyFill="1"/>
    <xf numFmtId="0" fontId="0" fillId="15" borderId="0" xfId="0" applyFill="1" applyAlignment="1">
      <alignment horizontal="center"/>
    </xf>
    <xf numFmtId="0" fontId="4" fillId="15" borderId="0" xfId="0" applyFont="1" applyFill="1" applyAlignment="1">
      <alignment horizontal="center"/>
    </xf>
    <xf numFmtId="4" fontId="0" fillId="15" borderId="0" xfId="0" applyNumberFormat="1" applyFill="1" applyAlignment="1">
      <alignment horizontal="center"/>
    </xf>
    <xf numFmtId="4" fontId="4" fillId="8" borderId="1" xfId="0" applyNumberFormat="1" applyFont="1" applyFill="1" applyBorder="1" applyAlignment="1">
      <alignment horizontal="center"/>
    </xf>
    <xf numFmtId="4" fontId="0" fillId="3" borderId="1" xfId="0" applyNumberFormat="1" applyFill="1" applyBorder="1" applyAlignment="1">
      <alignment horizontal="center"/>
    </xf>
    <xf numFmtId="4" fontId="0" fillId="3" borderId="1" xfId="0" quotePrefix="1" applyNumberFormat="1" applyFill="1" applyBorder="1" applyAlignment="1">
      <alignment horizontal="center"/>
    </xf>
    <xf numFmtId="4" fontId="4" fillId="3" borderId="1" xfId="0" applyNumberFormat="1" applyFont="1" applyFill="1" applyBorder="1" applyAlignment="1">
      <alignment horizontal="center"/>
    </xf>
    <xf numFmtId="4" fontId="4" fillId="2" borderId="1" xfId="0" applyNumberFormat="1" applyFont="1" applyFill="1" applyBorder="1" applyAlignment="1" applyProtection="1">
      <alignment horizontal="center"/>
      <protection locked="0"/>
    </xf>
    <xf numFmtId="4" fontId="19" fillId="14" borderId="0" xfId="0" applyNumberFormat="1" applyFont="1" applyFill="1" applyAlignment="1">
      <alignment horizontal="right"/>
    </xf>
    <xf numFmtId="4" fontId="19" fillId="10" borderId="0" xfId="0" applyNumberFormat="1" applyFont="1" applyFill="1" applyAlignment="1">
      <alignment horizontal="right"/>
    </xf>
    <xf numFmtId="0" fontId="4" fillId="7" borderId="0" xfId="0" applyFont="1" applyFill="1" applyAlignment="1">
      <alignment horizontal="left"/>
    </xf>
    <xf numFmtId="3" fontId="0" fillId="0" borderId="0" xfId="0" applyNumberFormat="1" applyAlignment="1">
      <alignment horizontal="center"/>
    </xf>
    <xf numFmtId="4" fontId="0" fillId="0" borderId="0" xfId="0" applyNumberFormat="1"/>
    <xf numFmtId="0" fontId="21" fillId="0" borderId="0" xfId="0" applyFont="1" applyAlignment="1">
      <alignment horizontal="center" vertical="top"/>
    </xf>
    <xf numFmtId="0" fontId="0" fillId="8" borderId="0" xfId="0" applyFill="1" applyAlignment="1">
      <alignment horizontal="center"/>
    </xf>
    <xf numFmtId="0" fontId="0" fillId="0" borderId="0" xfId="0" applyAlignment="1">
      <alignment horizontal="center" wrapText="1"/>
    </xf>
    <xf numFmtId="0" fontId="0" fillId="8" borderId="1" xfId="0" applyFill="1" applyBorder="1" applyAlignment="1">
      <alignment horizontal="center"/>
    </xf>
    <xf numFmtId="0" fontId="0" fillId="4" borderId="0" xfId="0" applyFill="1" applyAlignment="1">
      <alignment horizontal="center"/>
    </xf>
    <xf numFmtId="0" fontId="11" fillId="0" borderId="0" xfId="0" applyFont="1"/>
    <xf numFmtId="0" fontId="1" fillId="0" borderId="0" xfId="0" applyFont="1" applyAlignment="1">
      <alignment horizontal="center"/>
    </xf>
    <xf numFmtId="0" fontId="1" fillId="0" borderId="0" xfId="0" applyFont="1"/>
    <xf numFmtId="4" fontId="1" fillId="0" borderId="0" xfId="0" applyNumberFormat="1" applyFont="1" applyAlignment="1">
      <alignment horizontal="center"/>
    </xf>
    <xf numFmtId="0" fontId="22" fillId="0" borderId="0" xfId="0" applyFont="1"/>
    <xf numFmtId="0" fontId="0" fillId="0" borderId="0" xfId="0" applyAlignment="1">
      <alignment vertical="center"/>
    </xf>
    <xf numFmtId="0" fontId="0" fillId="0" borderId="0" xfId="0" applyAlignment="1">
      <alignment horizontal="justify" vertical="center"/>
    </xf>
    <xf numFmtId="0" fontId="2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justify" vertical="top" wrapText="1"/>
    </xf>
    <xf numFmtId="0" fontId="3" fillId="0" borderId="0" xfId="0" applyFont="1" applyAlignment="1">
      <alignment horizontal="center" vertical="top" wrapText="1"/>
    </xf>
    <xf numFmtId="0" fontId="3" fillId="0" borderId="1" xfId="0" applyFont="1" applyBorder="1" applyAlignment="1">
      <alignment horizontal="center" vertical="top" wrapText="1"/>
    </xf>
    <xf numFmtId="3" fontId="3" fillId="0" borderId="1" xfId="0" applyNumberFormat="1" applyFont="1" applyBorder="1" applyAlignment="1">
      <alignment horizontal="center" vertical="top" wrapText="1"/>
    </xf>
    <xf numFmtId="169" fontId="3" fillId="0" borderId="1" xfId="0" applyNumberFormat="1" applyFont="1" applyBorder="1" applyAlignment="1">
      <alignment horizontal="center" vertical="top" wrapText="1"/>
    </xf>
    <xf numFmtId="14" fontId="3" fillId="8" borderId="0" xfId="0" applyNumberFormat="1" applyFont="1" applyFill="1" applyAlignment="1">
      <alignment horizontal="center"/>
    </xf>
    <xf numFmtId="0" fontId="26" fillId="0" borderId="0" xfId="0" applyFont="1" applyAlignment="1">
      <alignment horizontal="justify" vertical="center"/>
    </xf>
    <xf numFmtId="0" fontId="3" fillId="0" borderId="0" xfId="0" applyFont="1" applyAlignment="1">
      <alignment horizontal="justify" vertical="center"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justify" wrapText="1"/>
    </xf>
    <xf numFmtId="0" fontId="3" fillId="0" borderId="12" xfId="0" applyFont="1" applyBorder="1" applyAlignment="1">
      <alignment horizontal="justify" vertical="top" wrapText="1"/>
    </xf>
    <xf numFmtId="3" fontId="3" fillId="0" borderId="0" xfId="0" applyNumberFormat="1" applyFont="1" applyAlignment="1">
      <alignment horizontal="center" vertical="top" wrapText="1"/>
    </xf>
    <xf numFmtId="169" fontId="3" fillId="0" borderId="0" xfId="0" applyNumberFormat="1" applyFont="1" applyAlignment="1">
      <alignment horizontal="center" vertical="top" wrapText="1"/>
    </xf>
    <xf numFmtId="0" fontId="28" fillId="0" borderId="0" xfId="0" applyFont="1" applyAlignment="1">
      <alignment horizontal="justify" vertical="top" wrapText="1"/>
    </xf>
    <xf numFmtId="0" fontId="5" fillId="0" borderId="0" xfId="0" applyFont="1" applyAlignment="1">
      <alignment horizontal="justify" vertical="top" wrapText="1"/>
    </xf>
    <xf numFmtId="0" fontId="3" fillId="0" borderId="0" xfId="0" quotePrefix="1" applyFont="1" applyAlignment="1">
      <alignment horizontal="justify" vertical="top" wrapText="1"/>
    </xf>
    <xf numFmtId="3" fontId="3" fillId="0" borderId="0" xfId="0" applyNumberFormat="1" applyFont="1" applyAlignment="1">
      <alignment horizontal="left" vertical="top" wrapText="1"/>
    </xf>
    <xf numFmtId="3" fontId="3" fillId="0" borderId="0" xfId="0" quotePrefix="1" applyNumberFormat="1" applyFont="1" applyAlignment="1">
      <alignment horizontal="left" vertical="top" wrapText="1"/>
    </xf>
    <xf numFmtId="0" fontId="29" fillId="0" borderId="0" xfId="0" applyFont="1" applyAlignment="1">
      <alignment horizontal="left" vertical="top" wrapText="1"/>
    </xf>
    <xf numFmtId="4" fontId="3" fillId="0" borderId="0" xfId="0" applyNumberFormat="1" applyFont="1"/>
    <xf numFmtId="0" fontId="30" fillId="0" borderId="0" xfId="0" applyFont="1" applyAlignment="1">
      <alignment horizontal="left" vertical="center" wrapText="1"/>
    </xf>
    <xf numFmtId="10" fontId="3" fillId="0" borderId="0" xfId="0" applyNumberFormat="1" applyFont="1" applyAlignment="1">
      <alignment horizontal="right" vertical="top" wrapText="1"/>
    </xf>
    <xf numFmtId="4" fontId="3" fillId="0" borderId="0" xfId="0" applyNumberFormat="1" applyFont="1" applyAlignment="1">
      <alignment horizontal="left" vertical="top" wrapText="1"/>
    </xf>
    <xf numFmtId="4" fontId="3" fillId="0" borderId="0" xfId="0" applyNumberFormat="1" applyFont="1" applyAlignment="1">
      <alignment horizontal="center" vertical="top" wrapText="1"/>
    </xf>
    <xf numFmtId="4" fontId="28" fillId="0" borderId="0" xfId="0" applyNumberFormat="1" applyFont="1" applyAlignment="1">
      <alignment horizontal="center" vertical="top" wrapText="1"/>
    </xf>
    <xf numFmtId="4" fontId="3" fillId="0" borderId="13" xfId="0" applyNumberFormat="1" applyFont="1" applyBorder="1" applyAlignment="1">
      <alignment horizontal="center" vertical="top" wrapText="1"/>
    </xf>
    <xf numFmtId="0" fontId="31" fillId="0" borderId="0" xfId="0" applyFont="1" applyAlignment="1">
      <alignment horizontal="center" vertical="top"/>
    </xf>
    <xf numFmtId="3" fontId="3" fillId="0" borderId="0" xfId="0" applyNumberFormat="1" applyFont="1" applyAlignment="1">
      <alignment horizontal="justify" vertical="top" wrapText="1"/>
    </xf>
    <xf numFmtId="0" fontId="3" fillId="0" borderId="0" xfId="0" applyFont="1" applyAlignment="1">
      <alignment horizontal="center" vertical="center" wrapText="1"/>
    </xf>
    <xf numFmtId="169" fontId="3" fillId="0" borderId="0" xfId="0" applyNumberFormat="1" applyFont="1" applyAlignment="1">
      <alignment horizontal="justify" vertical="top" wrapText="1"/>
    </xf>
    <xf numFmtId="4" fontId="4" fillId="0" borderId="0" xfId="0" applyNumberFormat="1" applyFont="1" applyAlignment="1">
      <alignment horizontal="justify" vertical="top" wrapText="1"/>
    </xf>
    <xf numFmtId="0" fontId="30" fillId="0" borderId="0" xfId="0" applyFont="1" applyAlignment="1">
      <alignment horizontal="justify" vertical="center" wrapText="1"/>
    </xf>
    <xf numFmtId="0" fontId="22" fillId="0" borderId="0" xfId="0" applyFont="1" applyAlignment="1">
      <alignment horizontal="left" wrapText="1"/>
    </xf>
    <xf numFmtId="0" fontId="3" fillId="0" borderId="0" xfId="0" applyFont="1" applyAlignment="1">
      <alignment horizontal="left" vertical="center" wrapText="1"/>
    </xf>
    <xf numFmtId="3" fontId="4" fillId="0" borderId="0" xfId="0" applyNumberFormat="1" applyFont="1" applyAlignment="1">
      <alignment horizontal="left" vertical="top" wrapText="1"/>
    </xf>
    <xf numFmtId="0" fontId="29" fillId="0" borderId="0" xfId="0" applyFont="1" applyAlignment="1">
      <alignment horizontal="center" vertical="top" wrapText="1"/>
    </xf>
    <xf numFmtId="0" fontId="3" fillId="8" borderId="0" xfId="0" applyFont="1" applyFill="1" applyAlignment="1">
      <alignment horizontal="center"/>
    </xf>
    <xf numFmtId="0" fontId="3" fillId="0" borderId="5" xfId="0" applyFont="1" applyBorder="1" applyAlignment="1">
      <alignment horizontal="left" vertical="top" wrapText="1"/>
    </xf>
    <xf numFmtId="0" fontId="3" fillId="0" borderId="14" xfId="0" applyFont="1" applyBorder="1" applyAlignment="1">
      <alignment horizontal="justify" vertical="top" wrapText="1"/>
    </xf>
    <xf numFmtId="0" fontId="22" fillId="0" borderId="0" xfId="0" applyFont="1" applyAlignment="1">
      <alignment horizontal="left" vertical="top" wrapText="1"/>
    </xf>
    <xf numFmtId="0" fontId="4" fillId="0" borderId="0" xfId="0" applyFont="1" applyAlignment="1">
      <alignment horizontal="right" vertical="center" wrapText="1"/>
    </xf>
    <xf numFmtId="0" fontId="4" fillId="0" borderId="0" xfId="0" applyFont="1" applyAlignment="1">
      <alignment horizontal="center" vertical="top" wrapText="1"/>
    </xf>
    <xf numFmtId="0" fontId="0" fillId="3" borderId="1" xfId="0" quotePrefix="1" applyFill="1" applyBorder="1" applyAlignment="1">
      <alignment horizontal="center"/>
    </xf>
    <xf numFmtId="0" fontId="22" fillId="0" borderId="0" xfId="0" applyFont="1" applyAlignment="1">
      <alignment horizontal="center" vertical="top" wrapText="1"/>
    </xf>
    <xf numFmtId="0" fontId="0" fillId="2" borderId="9" xfId="0" applyFill="1" applyBorder="1" applyAlignment="1">
      <alignment horizontal="center"/>
    </xf>
    <xf numFmtId="0" fontId="4" fillId="0" borderId="0" xfId="0" quotePrefix="1" applyFont="1" applyAlignment="1">
      <alignment horizontal="center"/>
    </xf>
    <xf numFmtId="0" fontId="4" fillId="0" borderId="0" xfId="0" quotePrefix="1" applyFont="1" applyAlignment="1">
      <alignment horizontal="center" vertical="top" wrapText="1"/>
    </xf>
    <xf numFmtId="4" fontId="3" fillId="0" borderId="0" xfId="0" applyNumberFormat="1" applyFont="1" applyAlignment="1">
      <alignment horizontal="left" vertical="center" wrapText="1"/>
    </xf>
    <xf numFmtId="4" fontId="3" fillId="0" borderId="0" xfId="0" applyNumberFormat="1" applyFont="1" applyAlignment="1">
      <alignment horizontal="justify" vertical="center" wrapText="1"/>
    </xf>
    <xf numFmtId="4" fontId="3" fillId="0" borderId="0" xfId="0" applyNumberFormat="1" applyFont="1" applyAlignment="1">
      <alignment horizontal="justify" vertical="top" wrapText="1"/>
    </xf>
    <xf numFmtId="4" fontId="28" fillId="0" borderId="0" xfId="0" applyNumberFormat="1" applyFont="1" applyAlignment="1">
      <alignment horizontal="justify" vertical="top" wrapText="1"/>
    </xf>
    <xf numFmtId="0" fontId="4" fillId="7" borderId="2" xfId="0" quotePrefix="1" applyFont="1" applyFill="1" applyBorder="1" applyAlignment="1">
      <alignment horizontal="center"/>
    </xf>
    <xf numFmtId="0" fontId="0" fillId="8" borderId="1" xfId="0" quotePrefix="1" applyFill="1" applyBorder="1" applyAlignment="1">
      <alignment horizontal="center"/>
    </xf>
    <xf numFmtId="0" fontId="4" fillId="0" borderId="0" xfId="0" applyFont="1" applyAlignment="1">
      <alignment horizontal="center" vertical="center" wrapText="1"/>
    </xf>
    <xf numFmtId="168" fontId="3" fillId="0" borderId="0" xfId="0" applyNumberFormat="1" applyFont="1" applyAlignment="1">
      <alignment horizontal="left" vertical="top" wrapText="1"/>
    </xf>
    <xf numFmtId="0" fontId="4" fillId="16" borderId="1" xfId="0" applyFont="1" applyFill="1" applyBorder="1" applyAlignment="1">
      <alignment horizontal="center"/>
    </xf>
    <xf numFmtId="0" fontId="4" fillId="2" borderId="1" xfId="0" applyFont="1" applyFill="1" applyBorder="1" applyAlignment="1">
      <alignment horizontal="center"/>
    </xf>
    <xf numFmtId="3" fontId="0" fillId="8" borderId="0" xfId="0" applyNumberFormat="1" applyFill="1" applyAlignment="1">
      <alignment horizontal="center"/>
    </xf>
    <xf numFmtId="0" fontId="42" fillId="0" borderId="0" xfId="0" applyFont="1" applyAlignment="1">
      <alignment vertical="top" wrapText="1"/>
    </xf>
    <xf numFmtId="0" fontId="0" fillId="18" borderId="0" xfId="0" applyFill="1"/>
    <xf numFmtId="0" fontId="0" fillId="18" borderId="0" xfId="0" applyFill="1" applyAlignment="1">
      <alignment horizontal="center"/>
    </xf>
    <xf numFmtId="0" fontId="43" fillId="0" borderId="0" xfId="0" applyFont="1"/>
    <xf numFmtId="0" fontId="43" fillId="0" borderId="0" xfId="0" applyFont="1" applyAlignment="1">
      <alignment horizontal="center"/>
    </xf>
    <xf numFmtId="0" fontId="43" fillId="0" borderId="0" xfId="0" applyFont="1" applyAlignment="1">
      <alignment horizontal="left"/>
    </xf>
    <xf numFmtId="10" fontId="43" fillId="0" borderId="0" xfId="0" applyNumberFormat="1" applyFont="1" applyAlignment="1">
      <alignment horizontal="center"/>
    </xf>
    <xf numFmtId="4" fontId="43" fillId="0" borderId="0" xfId="0" applyNumberFormat="1" applyFont="1" applyAlignment="1">
      <alignment horizontal="center"/>
    </xf>
    <xf numFmtId="4" fontId="43" fillId="0" borderId="0" xfId="0" applyNumberFormat="1" applyFont="1"/>
    <xf numFmtId="3" fontId="43" fillId="0" borderId="0" xfId="0" applyNumberFormat="1" applyFont="1" applyAlignment="1">
      <alignment horizontal="center"/>
    </xf>
    <xf numFmtId="0" fontId="45" fillId="0" borderId="0" xfId="0" applyFont="1" applyAlignment="1">
      <alignment horizontal="left" vertical="center"/>
    </xf>
    <xf numFmtId="0" fontId="45" fillId="0" borderId="0" xfId="0" applyFont="1" applyAlignment="1">
      <alignment horizontal="left"/>
    </xf>
    <xf numFmtId="170" fontId="46" fillId="0" borderId="0" xfId="0" applyNumberFormat="1" applyFont="1" applyAlignment="1">
      <alignment horizontal="center"/>
    </xf>
    <xf numFmtId="0" fontId="46" fillId="0" borderId="0" xfId="0" applyFont="1"/>
    <xf numFmtId="170" fontId="46" fillId="0" borderId="0" xfId="0" applyNumberFormat="1" applyFont="1"/>
    <xf numFmtId="4" fontId="46" fillId="0" borderId="0" xfId="0" applyNumberFormat="1" applyFont="1" applyAlignment="1">
      <alignment horizontal="center"/>
    </xf>
    <xf numFmtId="0" fontId="1" fillId="18" borderId="0" xfId="0" applyFont="1" applyFill="1" applyAlignment="1">
      <alignment vertical="center"/>
    </xf>
    <xf numFmtId="0" fontId="1" fillId="18" borderId="0" xfId="0" applyFont="1" applyFill="1" applyAlignment="1">
      <alignment horizontal="justify" vertical="center"/>
    </xf>
    <xf numFmtId="0" fontId="25" fillId="18" borderId="0" xfId="0" applyFont="1" applyFill="1" applyAlignment="1">
      <alignment horizontal="center" vertical="center"/>
    </xf>
    <xf numFmtId="0" fontId="23" fillId="18" borderId="0" xfId="0" applyFont="1" applyFill="1" applyAlignment="1">
      <alignment horizontal="center" vertical="center"/>
    </xf>
    <xf numFmtId="0" fontId="3" fillId="18" borderId="0" xfId="0" applyFont="1" applyFill="1" applyAlignment="1">
      <alignment horizontal="center" vertical="center"/>
    </xf>
    <xf numFmtId="0" fontId="0" fillId="18" borderId="0" xfId="0" applyFill="1" applyAlignment="1">
      <alignment vertical="center"/>
    </xf>
    <xf numFmtId="0" fontId="4" fillId="18" borderId="0" xfId="0" applyFont="1" applyFill="1" applyAlignment="1">
      <alignment horizontal="center" vertical="center"/>
    </xf>
    <xf numFmtId="0" fontId="0" fillId="18" borderId="0" xfId="0" applyFill="1" applyAlignment="1">
      <alignment horizontal="justify" vertical="center"/>
    </xf>
    <xf numFmtId="0" fontId="24" fillId="18" borderId="0" xfId="0" applyFont="1" applyFill="1" applyAlignment="1">
      <alignment horizontal="center" vertical="center"/>
    </xf>
    <xf numFmtId="0" fontId="3" fillId="18" borderId="0" xfId="0" applyFont="1" applyFill="1" applyAlignment="1">
      <alignment horizontal="center"/>
    </xf>
    <xf numFmtId="0" fontId="4" fillId="18" borderId="0" xfId="0" applyFont="1" applyFill="1" applyAlignment="1">
      <alignment horizontal="center"/>
    </xf>
    <xf numFmtId="0" fontId="47" fillId="17" borderId="6" xfId="0" applyFont="1" applyFill="1" applyBorder="1" applyAlignment="1">
      <alignment horizontal="center" vertical="top" wrapText="1"/>
    </xf>
    <xf numFmtId="0" fontId="47" fillId="17" borderId="1" xfId="0" applyFont="1" applyFill="1" applyBorder="1" applyAlignment="1">
      <alignment horizontal="center" vertical="top" wrapText="1"/>
    </xf>
    <xf numFmtId="3" fontId="47" fillId="17" borderId="2" xfId="0" applyNumberFormat="1" applyFont="1" applyFill="1" applyBorder="1" applyAlignment="1">
      <alignment horizontal="center" vertical="center" wrapText="1"/>
    </xf>
    <xf numFmtId="3" fontId="47" fillId="17" borderId="6" xfId="0" applyNumberFormat="1" applyFont="1" applyFill="1" applyBorder="1" applyAlignment="1">
      <alignment horizontal="center" vertical="center" wrapText="1"/>
    </xf>
    <xf numFmtId="0" fontId="43" fillId="18" borderId="0" xfId="0" applyFont="1" applyFill="1" applyAlignment="1">
      <alignment vertical="center"/>
    </xf>
    <xf numFmtId="0" fontId="44" fillId="18" borderId="0" xfId="0" applyFont="1" applyFill="1" applyAlignment="1">
      <alignment horizontal="center" vertical="center"/>
    </xf>
    <xf numFmtId="0" fontId="43" fillId="18" borderId="0" xfId="0" applyFont="1" applyFill="1" applyAlignment="1">
      <alignment horizontal="center" vertical="center"/>
    </xf>
    <xf numFmtId="0" fontId="47" fillId="18" borderId="0" xfId="0" applyFont="1" applyFill="1" applyAlignment="1">
      <alignment horizontal="center" vertical="center"/>
    </xf>
    <xf numFmtId="0" fontId="10" fillId="17" borderId="0" xfId="0" applyFont="1" applyFill="1" applyAlignment="1">
      <alignment horizontal="center" vertical="center" wrapText="1"/>
    </xf>
    <xf numFmtId="0" fontId="3" fillId="18" borderId="0" xfId="0" applyFont="1" applyFill="1" applyAlignment="1">
      <alignment horizontal="justify" vertical="top" wrapText="1"/>
    </xf>
    <xf numFmtId="4" fontId="3" fillId="18" borderId="0" xfId="0" applyNumberFormat="1" applyFont="1" applyFill="1" applyAlignment="1">
      <alignment horizontal="left" vertical="top" wrapText="1"/>
    </xf>
    <xf numFmtId="0" fontId="22" fillId="18" borderId="0" xfId="0" applyFont="1" applyFill="1" applyAlignment="1">
      <alignment horizontal="left" wrapText="1"/>
    </xf>
    <xf numFmtId="4" fontId="3" fillId="17" borderId="0" xfId="0" applyNumberFormat="1" applyFont="1" applyFill="1" applyAlignment="1">
      <alignment horizontal="left" vertical="center" wrapText="1"/>
    </xf>
    <xf numFmtId="4" fontId="3" fillId="17" borderId="0" xfId="0" applyNumberFormat="1" applyFont="1" applyFill="1" applyAlignment="1">
      <alignment horizontal="justify" vertical="center" wrapText="1"/>
    </xf>
    <xf numFmtId="4" fontId="43" fillId="17" borderId="0" xfId="0" applyNumberFormat="1" applyFont="1" applyFill="1" applyAlignment="1">
      <alignment horizontal="left" vertical="center" wrapText="1"/>
    </xf>
    <xf numFmtId="4" fontId="43" fillId="17" borderId="0" xfId="0" applyNumberFormat="1" applyFont="1" applyFill="1" applyAlignment="1">
      <alignment horizontal="justify" vertical="center" wrapText="1"/>
    </xf>
    <xf numFmtId="0" fontId="22" fillId="18" borderId="0" xfId="0" applyFont="1" applyFill="1" applyAlignment="1">
      <alignment horizontal="justify" vertical="top" wrapText="1"/>
    </xf>
    <xf numFmtId="0" fontId="30" fillId="18" borderId="0" xfId="0" applyFont="1" applyFill="1" applyAlignment="1">
      <alignment horizontal="left" vertical="center" wrapText="1"/>
    </xf>
    <xf numFmtId="0" fontId="43" fillId="18" borderId="0" xfId="0" applyFont="1" applyFill="1" applyAlignment="1">
      <alignment horizontal="justify" vertical="center"/>
    </xf>
    <xf numFmtId="0" fontId="8" fillId="17" borderId="0" xfId="0" applyFont="1" applyFill="1" applyAlignment="1">
      <alignment horizontal="center"/>
    </xf>
    <xf numFmtId="0" fontId="3" fillId="18" borderId="0" xfId="0" applyFont="1" applyFill="1"/>
    <xf numFmtId="0" fontId="48" fillId="18" borderId="0" xfId="0" applyFont="1" applyFill="1" applyAlignment="1">
      <alignment horizontal="center"/>
    </xf>
    <xf numFmtId="0" fontId="3" fillId="18" borderId="0" xfId="0" applyFont="1" applyFill="1" applyAlignment="1">
      <alignment vertical="center"/>
    </xf>
    <xf numFmtId="0" fontId="47" fillId="17" borderId="0" xfId="0" applyFont="1" applyFill="1" applyAlignment="1">
      <alignment horizontal="center" vertical="center"/>
    </xf>
    <xf numFmtId="0" fontId="49" fillId="18" borderId="0" xfId="0" applyFont="1" applyFill="1" applyAlignment="1">
      <alignment horizontal="center" vertical="center"/>
    </xf>
    <xf numFmtId="0" fontId="3" fillId="0" borderId="0" xfId="0" applyFont="1" applyAlignment="1">
      <alignment vertical="center"/>
    </xf>
    <xf numFmtId="0" fontId="47" fillId="19" borderId="0" xfId="0" applyFont="1" applyFill="1" applyAlignment="1">
      <alignment vertical="center"/>
    </xf>
    <xf numFmtId="0" fontId="3" fillId="20" borderId="0" xfId="0" applyFont="1" applyFill="1" applyAlignment="1">
      <alignment vertical="center"/>
    </xf>
    <xf numFmtId="0" fontId="47" fillId="21" borderId="0" xfId="0" applyFont="1" applyFill="1" applyAlignment="1">
      <alignment vertical="center"/>
    </xf>
    <xf numFmtId="0" fontId="50" fillId="18" borderId="0" xfId="1" applyFont="1" applyFill="1" applyAlignment="1" applyProtection="1">
      <alignment horizontal="center" vertical="center"/>
    </xf>
    <xf numFmtId="0" fontId="50" fillId="18" borderId="0" xfId="1" applyFont="1" applyFill="1" applyBorder="1" applyAlignment="1" applyProtection="1">
      <alignment horizontal="center" vertical="center"/>
    </xf>
    <xf numFmtId="0" fontId="50" fillId="18" borderId="0" xfId="1" applyFont="1" applyFill="1" applyAlignment="1" applyProtection="1">
      <alignment horizontal="center" vertical="center" wrapText="1"/>
    </xf>
    <xf numFmtId="0" fontId="50" fillId="18" borderId="0" xfId="1" applyFont="1" applyFill="1" applyAlignment="1" applyProtection="1">
      <alignment vertical="center" wrapText="1"/>
    </xf>
    <xf numFmtId="0" fontId="51" fillId="22" borderId="0" xfId="0" applyFont="1" applyFill="1" applyAlignment="1">
      <alignment horizontal="center" vertical="top" wrapText="1"/>
    </xf>
    <xf numFmtId="0" fontId="51" fillId="0" borderId="0" xfId="0" applyFont="1"/>
    <xf numFmtId="0" fontId="51" fillId="22" borderId="0" xfId="0" applyFont="1" applyFill="1" applyAlignment="1">
      <alignment horizontal="center"/>
    </xf>
    <xf numFmtId="0" fontId="51" fillId="0" borderId="0" xfId="0" applyFont="1" applyAlignment="1">
      <alignment horizontal="center" vertical="top" wrapText="1"/>
    </xf>
    <xf numFmtId="0" fontId="51" fillId="21" borderId="0" xfId="0" applyFont="1" applyFill="1"/>
    <xf numFmtId="0" fontId="51" fillId="0" borderId="0" xfId="0" applyFont="1" applyAlignment="1">
      <alignment horizontal="center"/>
    </xf>
    <xf numFmtId="0" fontId="52" fillId="23" borderId="3" xfId="0" quotePrefix="1" applyFont="1" applyFill="1" applyBorder="1" applyAlignment="1">
      <alignment vertical="top" wrapText="1"/>
    </xf>
    <xf numFmtId="0" fontId="53" fillId="0" borderId="0" xfId="0" applyFont="1" applyAlignment="1">
      <alignment horizontal="center" vertical="top"/>
    </xf>
    <xf numFmtId="0" fontId="54" fillId="0" borderId="0" xfId="0" applyFont="1" applyAlignment="1">
      <alignment horizontal="justify" vertical="center" wrapText="1"/>
    </xf>
    <xf numFmtId="0" fontId="54" fillId="23" borderId="0" xfId="0" applyFont="1" applyFill="1" applyAlignment="1">
      <alignment horizontal="justify" vertical="top" wrapText="1"/>
    </xf>
    <xf numFmtId="0" fontId="47" fillId="21" borderId="0" xfId="0" applyFont="1" applyFill="1"/>
    <xf numFmtId="0" fontId="36" fillId="0" borderId="0" xfId="0" applyFont="1"/>
    <xf numFmtId="0" fontId="36" fillId="0" borderId="0" xfId="0" applyFont="1" applyAlignment="1">
      <alignment horizontal="center"/>
    </xf>
    <xf numFmtId="0" fontId="54" fillId="23" borderId="7" xfId="0" applyFont="1" applyFill="1" applyBorder="1" applyAlignment="1">
      <alignment horizontal="justify" vertical="top" wrapText="1"/>
    </xf>
    <xf numFmtId="0" fontId="54" fillId="23" borderId="12" xfId="0" applyFont="1" applyFill="1" applyBorder="1" applyAlignment="1">
      <alignment horizontal="justify" vertical="top" wrapText="1"/>
    </xf>
    <xf numFmtId="0" fontId="36" fillId="0" borderId="0" xfId="0" applyFont="1" applyAlignment="1">
      <alignment vertical="top" wrapText="1"/>
    </xf>
    <xf numFmtId="0" fontId="55" fillId="0" borderId="0" xfId="0" applyFont="1" applyAlignment="1">
      <alignment vertical="top" wrapText="1"/>
    </xf>
    <xf numFmtId="0" fontId="54" fillId="23" borderId="8" xfId="0" applyFont="1" applyFill="1" applyBorder="1" applyAlignment="1">
      <alignment horizontal="justify" vertical="top" wrapText="1"/>
    </xf>
    <xf numFmtId="0" fontId="54" fillId="23" borderId="13" xfId="0" applyFont="1" applyFill="1" applyBorder="1" applyAlignment="1">
      <alignment horizontal="justify" vertical="top" wrapText="1"/>
    </xf>
    <xf numFmtId="0" fontId="54" fillId="23" borderId="14" xfId="0" applyFont="1" applyFill="1" applyBorder="1" applyAlignment="1">
      <alignment horizontal="justify" vertical="top" wrapText="1"/>
    </xf>
    <xf numFmtId="0" fontId="56" fillId="0" borderId="0" xfId="0" applyFont="1" applyAlignment="1">
      <alignment vertical="top" wrapText="1"/>
    </xf>
    <xf numFmtId="0" fontId="37" fillId="0" borderId="0" xfId="0" applyFont="1"/>
    <xf numFmtId="0" fontId="37" fillId="0" borderId="0" xfId="0" applyFont="1" applyAlignment="1">
      <alignment horizontal="center"/>
    </xf>
    <xf numFmtId="0" fontId="30" fillId="0" borderId="0" xfId="0" applyFont="1" applyAlignment="1">
      <alignment horizontal="justify"/>
    </xf>
    <xf numFmtId="0" fontId="30" fillId="0" borderId="0" xfId="0" applyFont="1" applyAlignment="1">
      <alignment horizontal="center"/>
    </xf>
    <xf numFmtId="0" fontId="58" fillId="17" borderId="0" xfId="0" applyFont="1" applyFill="1" applyAlignment="1">
      <alignment horizontal="justify"/>
    </xf>
    <xf numFmtId="0" fontId="20" fillId="0" borderId="0" xfId="0" applyFont="1" applyAlignment="1">
      <alignment horizontal="center"/>
    </xf>
    <xf numFmtId="0" fontId="51" fillId="19" borderId="0" xfId="0" applyFont="1" applyFill="1" applyAlignment="1">
      <alignment horizontal="center"/>
    </xf>
    <xf numFmtId="0" fontId="51" fillId="24" borderId="0" xfId="0" applyFont="1" applyFill="1" applyAlignment="1">
      <alignment horizontal="center"/>
    </xf>
    <xf numFmtId="0" fontId="51" fillId="17" borderId="0" xfId="0" applyFont="1" applyFill="1" applyAlignment="1">
      <alignment horizontal="center"/>
    </xf>
    <xf numFmtId="0" fontId="59" fillId="20" borderId="1" xfId="0" applyFont="1" applyFill="1" applyBorder="1" applyAlignment="1">
      <alignment horizontal="center"/>
    </xf>
    <xf numFmtId="0" fontId="51" fillId="22" borderId="1" xfId="0" applyFont="1" applyFill="1" applyBorder="1" applyAlignment="1">
      <alignment horizontal="center"/>
    </xf>
    <xf numFmtId="0" fontId="51" fillId="24" borderId="1" xfId="0" applyFont="1" applyFill="1" applyBorder="1" applyAlignment="1">
      <alignment horizontal="center"/>
    </xf>
    <xf numFmtId="3" fontId="0" fillId="2" borderId="10" xfId="0" applyNumberFormat="1" applyFill="1" applyBorder="1" applyAlignment="1" applyProtection="1">
      <alignment horizontal="center"/>
      <protection locked="0"/>
    </xf>
    <xf numFmtId="0" fontId="3" fillId="23" borderId="9" xfId="0" applyFont="1" applyFill="1" applyBorder="1" applyAlignment="1">
      <alignment vertical="center"/>
    </xf>
    <xf numFmtId="4" fontId="0" fillId="2" borderId="10" xfId="0" applyNumberFormat="1" applyFill="1" applyBorder="1" applyAlignment="1" applyProtection="1">
      <alignment horizontal="center"/>
      <protection locked="0"/>
    </xf>
    <xf numFmtId="4" fontId="3" fillId="23" borderId="9" xfId="0" applyNumberFormat="1" applyFont="1" applyFill="1" applyBorder="1" applyAlignment="1">
      <alignment horizontal="center"/>
    </xf>
    <xf numFmtId="0" fontId="3" fillId="23" borderId="1" xfId="0" applyFont="1" applyFill="1" applyBorder="1"/>
    <xf numFmtId="0" fontId="0" fillId="18" borderId="0" xfId="0" applyFill="1" applyAlignment="1">
      <alignment horizontal="justify"/>
    </xf>
    <xf numFmtId="0" fontId="0" fillId="0" borderId="0" xfId="0" applyAlignment="1">
      <alignment horizontal="justify"/>
    </xf>
    <xf numFmtId="0" fontId="0" fillId="25" borderId="0" xfId="0" applyFill="1"/>
    <xf numFmtId="0" fontId="57" fillId="25" borderId="0" xfId="0" applyFont="1" applyFill="1"/>
    <xf numFmtId="0" fontId="60" fillId="18" borderId="0" xfId="0" applyFont="1" applyFill="1" applyAlignment="1">
      <alignment horizontal="justify" vertical="top"/>
    </xf>
    <xf numFmtId="0" fontId="50" fillId="26" borderId="0" xfId="1" applyFont="1" applyFill="1" applyAlignment="1" applyProtection="1">
      <alignment horizontal="center"/>
    </xf>
    <xf numFmtId="0" fontId="50" fillId="26" borderId="0" xfId="1" applyFont="1" applyFill="1" applyAlignment="1" applyProtection="1">
      <alignment horizontal="center" vertical="center"/>
    </xf>
    <xf numFmtId="0" fontId="0" fillId="26" borderId="0" xfId="0" applyFill="1"/>
    <xf numFmtId="0" fontId="61" fillId="26" borderId="0" xfId="0" applyFont="1" applyFill="1" applyAlignment="1">
      <alignment horizontal="center" vertical="center"/>
    </xf>
    <xf numFmtId="0" fontId="0" fillId="26" borderId="0" xfId="0" applyFill="1" applyAlignment="1">
      <alignment horizontal="center"/>
    </xf>
    <xf numFmtId="0" fontId="47" fillId="18" borderId="0" xfId="0" applyFont="1" applyFill="1" applyAlignment="1">
      <alignment vertical="center"/>
    </xf>
    <xf numFmtId="0" fontId="62" fillId="17" borderId="0" xfId="0" applyFont="1" applyFill="1" applyAlignment="1">
      <alignment horizontal="center" vertical="center"/>
    </xf>
    <xf numFmtId="0" fontId="63" fillId="18" borderId="0" xfId="0" applyFont="1" applyFill="1" applyAlignment="1">
      <alignment horizontal="center" vertical="center" wrapText="1"/>
    </xf>
    <xf numFmtId="0" fontId="3" fillId="26" borderId="0" xfId="0" applyFont="1" applyFill="1" applyAlignment="1">
      <alignment horizontal="center" vertical="center"/>
    </xf>
    <xf numFmtId="0" fontId="50" fillId="26" borderId="0" xfId="1" applyFont="1" applyFill="1" applyBorder="1" applyAlignment="1" applyProtection="1">
      <alignment horizontal="center" vertical="center"/>
    </xf>
    <xf numFmtId="0" fontId="50" fillId="26" borderId="0" xfId="1" applyFont="1" applyFill="1" applyAlignment="1" applyProtection="1">
      <alignment horizontal="center" vertical="center" wrapText="1"/>
    </xf>
    <xf numFmtId="0" fontId="48" fillId="23" borderId="1" xfId="0" applyFont="1" applyFill="1" applyBorder="1" applyAlignment="1">
      <alignment horizontal="center" wrapText="1"/>
    </xf>
    <xf numFmtId="0" fontId="48" fillId="0" borderId="0" xfId="0" applyFont="1" applyAlignment="1">
      <alignment horizontal="center" vertical="top"/>
    </xf>
    <xf numFmtId="0" fontId="64" fillId="0" borderId="0" xfId="0" applyFont="1" applyAlignment="1">
      <alignment horizontal="justify" vertical="center" wrapText="1"/>
    </xf>
    <xf numFmtId="0" fontId="47" fillId="19" borderId="0" xfId="0" applyFont="1" applyFill="1" applyAlignment="1">
      <alignment horizontal="center"/>
    </xf>
    <xf numFmtId="0" fontId="32" fillId="0" borderId="0" xfId="0" applyFont="1" applyAlignment="1">
      <alignment horizontal="center" vertical="top"/>
    </xf>
    <xf numFmtId="4" fontId="3" fillId="2" borderId="10" xfId="0" applyNumberFormat="1" applyFont="1" applyFill="1" applyBorder="1" applyAlignment="1" applyProtection="1">
      <alignment horizontal="center"/>
      <protection locked="0"/>
    </xf>
    <xf numFmtId="0" fontId="65" fillId="23" borderId="0" xfId="0" applyFont="1" applyFill="1" applyAlignment="1">
      <alignment horizontal="center"/>
    </xf>
    <xf numFmtId="0" fontId="66" fillId="18" borderId="0" xfId="0" applyFont="1" applyFill="1" applyAlignment="1">
      <alignment horizontal="center"/>
    </xf>
    <xf numFmtId="0" fontId="29" fillId="0" borderId="0" xfId="0" applyFont="1"/>
    <xf numFmtId="0" fontId="67" fillId="18" borderId="0" xfId="0" applyFont="1" applyFill="1" applyAlignment="1">
      <alignment horizontal="right"/>
    </xf>
    <xf numFmtId="0" fontId="49" fillId="18" borderId="0" xfId="0" applyFont="1" applyFill="1"/>
    <xf numFmtId="0" fontId="40" fillId="18" borderId="0" xfId="0" applyFont="1" applyFill="1" applyAlignment="1">
      <alignment horizontal="right"/>
    </xf>
    <xf numFmtId="0" fontId="67" fillId="18" borderId="0" xfId="0" applyFont="1" applyFill="1" applyAlignment="1">
      <alignment horizontal="right" vertical="top"/>
    </xf>
    <xf numFmtId="0" fontId="40" fillId="0" borderId="0" xfId="0" applyFont="1" applyAlignment="1">
      <alignment horizontal="right"/>
    </xf>
    <xf numFmtId="0" fontId="35" fillId="0" borderId="0" xfId="0" applyFont="1" applyAlignment="1">
      <alignment horizontal="justify" vertical="top" wrapText="1"/>
    </xf>
    <xf numFmtId="0" fontId="8" fillId="17" borderId="0" xfId="0" applyFont="1" applyFill="1" applyAlignment="1">
      <alignment horizontal="center" vertical="top"/>
    </xf>
    <xf numFmtId="0" fontId="4" fillId="25" borderId="0" xfId="0" applyFont="1" applyFill="1" applyAlignment="1">
      <alignment horizontal="center"/>
    </xf>
    <xf numFmtId="0" fontId="65" fillId="25" borderId="0" xfId="0" applyFont="1" applyFill="1" applyAlignment="1">
      <alignment horizontal="center" vertical="center"/>
    </xf>
    <xf numFmtId="0" fontId="47" fillId="18" borderId="0" xfId="0" applyFont="1" applyFill="1" applyAlignment="1">
      <alignment horizontal="center"/>
    </xf>
    <xf numFmtId="0" fontId="47" fillId="18" borderId="0" xfId="0" applyFont="1" applyFill="1" applyAlignment="1">
      <alignment horizontal="center" vertical="top"/>
    </xf>
    <xf numFmtId="0" fontId="60" fillId="18" borderId="0" xfId="0" applyFont="1" applyFill="1" applyAlignment="1">
      <alignment horizontal="left" vertical="center"/>
    </xf>
    <xf numFmtId="0" fontId="8" fillId="17" borderId="0" xfId="0" applyFont="1" applyFill="1" applyAlignment="1">
      <alignment horizontal="center" vertical="center"/>
    </xf>
    <xf numFmtId="0" fontId="68" fillId="26" borderId="0" xfId="1" applyFont="1" applyFill="1" applyAlignment="1" applyProtection="1">
      <alignment horizontal="center" vertical="center"/>
    </xf>
    <xf numFmtId="0" fontId="0" fillId="26" borderId="0" xfId="0" applyFill="1" applyAlignment="1">
      <alignment vertical="center"/>
    </xf>
    <xf numFmtId="0" fontId="4" fillId="26" borderId="0" xfId="0" applyFont="1" applyFill="1" applyAlignment="1">
      <alignment horizontal="center"/>
    </xf>
    <xf numFmtId="0" fontId="29" fillId="0" borderId="0" xfId="0" applyFont="1" applyAlignment="1">
      <alignment horizontal="justify" vertical="top" wrapText="1"/>
    </xf>
    <xf numFmtId="0" fontId="4" fillId="26" borderId="0" xfId="0" applyFont="1" applyFill="1" applyAlignment="1">
      <alignment horizontal="center" vertical="center"/>
    </xf>
    <xf numFmtId="0" fontId="54" fillId="18" borderId="0" xfId="0" applyFont="1" applyFill="1" applyAlignment="1">
      <alignment horizontal="justify" vertical="top"/>
    </xf>
    <xf numFmtId="0" fontId="48" fillId="23" borderId="2" xfId="0" applyFont="1" applyFill="1" applyBorder="1" applyAlignment="1">
      <alignment horizontal="center" vertical="center"/>
    </xf>
    <xf numFmtId="0" fontId="44" fillId="17" borderId="0" xfId="0" applyFont="1" applyFill="1" applyAlignment="1">
      <alignment horizontal="center"/>
    </xf>
    <xf numFmtId="0" fontId="54" fillId="18" borderId="0" xfId="0" applyFont="1" applyFill="1" applyAlignment="1">
      <alignment horizontal="justify" vertical="center"/>
    </xf>
    <xf numFmtId="0" fontId="62" fillId="17" borderId="0" xfId="0" applyFont="1" applyFill="1" applyAlignment="1">
      <alignment horizontal="center" vertical="center"/>
    </xf>
    <xf numFmtId="0" fontId="63" fillId="18" borderId="0" xfId="0" applyFont="1" applyFill="1" applyAlignment="1">
      <alignment horizontal="center" vertical="center" wrapText="1"/>
    </xf>
    <xf numFmtId="0" fontId="54" fillId="23" borderId="0" xfId="0" applyFont="1" applyFill="1" applyAlignment="1">
      <alignment horizontal="justify" vertical="top"/>
    </xf>
    <xf numFmtId="0" fontId="54" fillId="18" borderId="0" xfId="0" applyFont="1" applyFill="1" applyAlignment="1">
      <alignment horizontal="justify" vertical="top"/>
    </xf>
    <xf numFmtId="0" fontId="72" fillId="18" borderId="0" xfId="0" applyFont="1" applyFill="1" applyAlignment="1">
      <alignment horizontal="center" vertical="center" wrapText="1"/>
    </xf>
    <xf numFmtId="0" fontId="50" fillId="26" borderId="0" xfId="1" applyFont="1" applyFill="1" applyAlignment="1" applyProtection="1">
      <alignment horizontal="center" vertical="top" wrapText="1"/>
    </xf>
    <xf numFmtId="0" fontId="50" fillId="26" borderId="0" xfId="1" applyFont="1" applyFill="1" applyAlignment="1" applyProtection="1">
      <alignment horizontal="center" vertical="top"/>
    </xf>
    <xf numFmtId="0" fontId="8" fillId="17" borderId="0" xfId="0" applyFont="1" applyFill="1" applyAlignment="1">
      <alignment horizontal="center"/>
    </xf>
    <xf numFmtId="0" fontId="64" fillId="18" borderId="0" xfId="0" applyFont="1" applyFill="1" applyAlignment="1">
      <alignment horizontal="justify" vertical="top" wrapText="1"/>
    </xf>
    <xf numFmtId="0" fontId="27" fillId="0" borderId="0" xfId="0" applyFont="1" applyAlignment="1">
      <alignment horizontal="justify" vertical="center"/>
    </xf>
    <xf numFmtId="0" fontId="50" fillId="26" borderId="0" xfId="1" applyFont="1" applyFill="1" applyAlignment="1" applyProtection="1">
      <alignment horizontal="center" vertical="center"/>
    </xf>
    <xf numFmtId="0" fontId="11" fillId="0" borderId="0" xfId="0" applyFont="1" applyAlignment="1">
      <alignment horizontal="center"/>
    </xf>
    <xf numFmtId="0" fontId="0" fillId="0" borderId="0" xfId="0" applyAlignment="1">
      <alignment horizontal="center"/>
    </xf>
    <xf numFmtId="0" fontId="50" fillId="26" borderId="0" xfId="1" applyFont="1" applyFill="1" applyAlignment="1" applyProtection="1">
      <alignment horizontal="center" vertical="center" wrapText="1"/>
    </xf>
    <xf numFmtId="0" fontId="0" fillId="0" borderId="0" xfId="0" applyAlignment="1">
      <alignment horizontal="right"/>
    </xf>
    <xf numFmtId="0" fontId="64" fillId="23" borderId="0" xfId="0" applyFont="1" applyFill="1" applyAlignment="1">
      <alignment vertical="top" wrapText="1"/>
    </xf>
    <xf numFmtId="0" fontId="67" fillId="18" borderId="0" xfId="0" applyFont="1" applyFill="1" applyAlignment="1">
      <alignment horizontal="right" vertical="center"/>
    </xf>
    <xf numFmtId="0" fontId="44" fillId="18" borderId="0" xfId="0" applyFont="1" applyFill="1" applyAlignment="1">
      <alignment horizontal="center" vertical="center"/>
    </xf>
    <xf numFmtId="0" fontId="24" fillId="17" borderId="0" xfId="0" applyFont="1" applyFill="1" applyAlignment="1">
      <alignment horizontal="center" vertical="center"/>
    </xf>
    <xf numFmtId="0" fontId="3" fillId="0" borderId="0" xfId="0" applyFont="1" applyAlignment="1">
      <alignment horizontal="justify" wrapText="1"/>
    </xf>
    <xf numFmtId="0" fontId="4" fillId="0" borderId="0" xfId="0" applyFont="1" applyAlignment="1">
      <alignment horizontal="right" vertical="center" wrapText="1"/>
    </xf>
    <xf numFmtId="4" fontId="43" fillId="17" borderId="0" xfId="0" applyNumberFormat="1" applyFont="1" applyFill="1" applyAlignment="1">
      <alignment horizontal="center" vertical="center" wrapText="1"/>
    </xf>
    <xf numFmtId="0" fontId="22" fillId="0" borderId="0" xfId="0" applyFont="1" applyAlignment="1">
      <alignment horizontal="center" wrapText="1"/>
    </xf>
    <xf numFmtId="0" fontId="22" fillId="0" borderId="0" xfId="0" applyFont="1" applyAlignment="1">
      <alignment horizontal="center" vertical="top" wrapText="1"/>
    </xf>
    <xf numFmtId="168" fontId="3" fillId="2" borderId="0" xfId="0" applyNumberFormat="1" applyFont="1" applyFill="1" applyAlignment="1" applyProtection="1">
      <alignment horizontal="center" vertical="center" wrapText="1"/>
      <protection locked="0"/>
    </xf>
    <xf numFmtId="4" fontId="3" fillId="2" borderId="0" xfId="0" applyNumberFormat="1" applyFont="1" applyFill="1" applyAlignment="1" applyProtection="1">
      <alignment horizontal="center" vertical="center" wrapText="1"/>
      <protection locked="0"/>
    </xf>
    <xf numFmtId="168" fontId="1" fillId="2" borderId="0" xfId="0" applyNumberFormat="1" applyFont="1" applyFill="1" applyAlignment="1" applyProtection="1">
      <alignment horizontal="center" vertical="center" wrapText="1"/>
      <protection locked="0"/>
    </xf>
    <xf numFmtId="0" fontId="47" fillId="17" borderId="0" xfId="0" applyFont="1" applyFill="1" applyAlignment="1">
      <alignment horizontal="center" vertical="center" wrapText="1"/>
    </xf>
    <xf numFmtId="0" fontId="4" fillId="0" borderId="0" xfId="0" applyFont="1" applyAlignment="1">
      <alignment horizontal="center" wrapText="1"/>
    </xf>
    <xf numFmtId="0" fontId="47" fillId="17" borderId="0" xfId="0" quotePrefix="1" applyFont="1" applyFill="1" applyAlignment="1">
      <alignment horizontal="center" vertical="center" wrapText="1"/>
    </xf>
    <xf numFmtId="0" fontId="43" fillId="17" borderId="0" xfId="0" applyFont="1" applyFill="1" applyAlignment="1">
      <alignment horizontal="center" vertical="center" wrapText="1"/>
    </xf>
    <xf numFmtId="4" fontId="42" fillId="2" borderId="0" xfId="0" applyNumberFormat="1" applyFont="1" applyFill="1" applyAlignment="1" applyProtection="1">
      <alignment horizontal="center" vertical="center" wrapText="1"/>
      <protection locked="0"/>
    </xf>
    <xf numFmtId="0" fontId="4" fillId="0" borderId="0" xfId="0" applyFont="1" applyAlignment="1">
      <alignment horizontal="right" vertical="center"/>
    </xf>
    <xf numFmtId="4" fontId="22" fillId="27" borderId="0" xfId="0" applyNumberFormat="1" applyFont="1" applyFill="1" applyAlignment="1">
      <alignment horizontal="justify" vertical="center" wrapText="1"/>
    </xf>
    <xf numFmtId="0" fontId="8" fillId="17" borderId="0" xfId="0" applyFont="1" applyFill="1" applyAlignment="1">
      <alignment horizontal="center" vertical="top"/>
    </xf>
    <xf numFmtId="0" fontId="8" fillId="17" borderId="0" xfId="0" applyFont="1" applyFill="1" applyAlignment="1">
      <alignment horizontal="center" vertical="center"/>
    </xf>
    <xf numFmtId="0" fontId="68" fillId="26" borderId="0" xfId="1" applyFont="1" applyFill="1" applyAlignment="1" applyProtection="1">
      <alignment horizontal="center" vertical="center"/>
    </xf>
    <xf numFmtId="169" fontId="3" fillId="0" borderId="1" xfId="0" applyNumberFormat="1" applyFont="1" applyBorder="1" applyAlignment="1">
      <alignment horizontal="center" vertical="top" wrapText="1"/>
    </xf>
    <xf numFmtId="3" fontId="3" fillId="0" borderId="9" xfId="0" applyNumberFormat="1" applyFont="1" applyBorder="1" applyAlignment="1">
      <alignment horizontal="center" vertical="top" wrapText="1"/>
    </xf>
    <xf numFmtId="3" fontId="3" fillId="0" borderId="10" xfId="0" applyNumberFormat="1" applyFont="1" applyBorder="1" applyAlignment="1">
      <alignment horizontal="center" vertical="top" wrapText="1"/>
    </xf>
    <xf numFmtId="4" fontId="3" fillId="0" borderId="9" xfId="0" applyNumberFormat="1" applyFont="1" applyBorder="1" applyAlignment="1">
      <alignment horizontal="center" vertical="top" wrapText="1"/>
    </xf>
    <xf numFmtId="4" fontId="3" fillId="0" borderId="10" xfId="0" applyNumberFormat="1" applyFont="1" applyBorder="1" applyAlignment="1">
      <alignment horizontal="center" vertical="top" wrapText="1"/>
    </xf>
    <xf numFmtId="0" fontId="3" fillId="0" borderId="0" xfId="0" applyFont="1" applyAlignment="1">
      <alignment horizontal="justify" vertical="top" wrapText="1"/>
    </xf>
    <xf numFmtId="0" fontId="47" fillId="17" borderId="1" xfId="0" applyFont="1" applyFill="1" applyBorder="1" applyAlignment="1">
      <alignment horizontal="center" vertical="center" wrapText="1"/>
    </xf>
    <xf numFmtId="0" fontId="3" fillId="0" borderId="0" xfId="0" applyFont="1" applyAlignment="1">
      <alignment horizontal="left" vertical="top" wrapText="1"/>
    </xf>
    <xf numFmtId="0" fontId="4" fillId="0" borderId="0" xfId="0" applyFont="1" applyAlignment="1">
      <alignment horizontal="center" vertical="top" wrapText="1"/>
    </xf>
    <xf numFmtId="0" fontId="47" fillId="17" borderId="9" xfId="0" applyFont="1" applyFill="1" applyBorder="1" applyAlignment="1">
      <alignment horizontal="center" vertical="top" wrapText="1"/>
    </xf>
    <xf numFmtId="0" fontId="47" fillId="17" borderId="10" xfId="0" applyFont="1" applyFill="1" applyBorder="1" applyAlignment="1">
      <alignment horizontal="center" vertical="top" wrapText="1"/>
    </xf>
    <xf numFmtId="4" fontId="4" fillId="0" borderId="9" xfId="0" applyNumberFormat="1" applyFont="1" applyBorder="1" applyAlignment="1">
      <alignment horizontal="center" vertical="top" wrapText="1"/>
    </xf>
    <xf numFmtId="4" fontId="4" fillId="0" borderId="10" xfId="0" applyNumberFormat="1" applyFont="1" applyBorder="1" applyAlignment="1">
      <alignment horizontal="center" vertical="top" wrapText="1"/>
    </xf>
    <xf numFmtId="0" fontId="47" fillId="17" borderId="8" xfId="0" applyFont="1" applyFill="1" applyBorder="1" applyAlignment="1">
      <alignment horizontal="center" vertical="top" wrapText="1"/>
    </xf>
    <xf numFmtId="0" fontId="47" fillId="17" borderId="14" xfId="0" applyFont="1" applyFill="1" applyBorder="1" applyAlignment="1">
      <alignment horizontal="center" vertical="top" wrapText="1"/>
    </xf>
    <xf numFmtId="0" fontId="47" fillId="17" borderId="3" xfId="0" applyFont="1" applyFill="1" applyBorder="1" applyAlignment="1">
      <alignment horizontal="center" vertical="top" wrapText="1"/>
    </xf>
    <xf numFmtId="0" fontId="47" fillId="17" borderId="4" xfId="0" applyFont="1" applyFill="1" applyBorder="1" applyAlignment="1">
      <alignment horizontal="center" vertical="top" wrapText="1"/>
    </xf>
    <xf numFmtId="0" fontId="47" fillId="17" borderId="5" xfId="0" applyFont="1" applyFill="1" applyBorder="1" applyAlignment="1">
      <alignment horizontal="center" vertical="top" wrapText="1"/>
    </xf>
    <xf numFmtId="0" fontId="41" fillId="0" borderId="0" xfId="0" applyFont="1" applyAlignment="1">
      <alignment horizontal="center" vertical="center" wrapText="1"/>
    </xf>
    <xf numFmtId="3" fontId="3" fillId="0" borderId="0" xfId="0" applyNumberFormat="1" applyFont="1" applyAlignment="1">
      <alignment horizontal="justify" vertical="top" wrapText="1"/>
    </xf>
    <xf numFmtId="0" fontId="30" fillId="23" borderId="0" xfId="0" applyFont="1" applyFill="1" applyAlignment="1">
      <alignment horizontal="left" vertical="center" wrapText="1"/>
    </xf>
    <xf numFmtId="3" fontId="3" fillId="0" borderId="0" xfId="0" applyNumberFormat="1" applyFont="1" applyAlignment="1">
      <alignment horizontal="left" vertical="top" wrapText="1"/>
    </xf>
    <xf numFmtId="0" fontId="1" fillId="0" borderId="0" xfId="0" applyFont="1" applyAlignment="1">
      <alignment horizontal="justify" vertical="center" wrapText="1"/>
    </xf>
    <xf numFmtId="0" fontId="1" fillId="0" borderId="0" xfId="0" applyFont="1" applyAlignment="1">
      <alignment horizontal="justify" vertical="top" wrapText="1"/>
    </xf>
    <xf numFmtId="0" fontId="3" fillId="0" borderId="0" xfId="0" applyFont="1" applyAlignment="1">
      <alignment horizontal="justify" vertical="center" wrapText="1"/>
    </xf>
    <xf numFmtId="3" fontId="4" fillId="0" borderId="0" xfId="0" applyNumberFormat="1" applyFont="1" applyAlignment="1">
      <alignment horizontal="left" vertical="top" wrapText="1"/>
    </xf>
    <xf numFmtId="0" fontId="1" fillId="0" borderId="0" xfId="0" applyFont="1" applyAlignment="1">
      <alignment horizontal="left" vertical="top" wrapText="1"/>
    </xf>
    <xf numFmtId="0" fontId="69" fillId="17" borderId="0" xfId="0" applyFont="1" applyFill="1" applyAlignment="1">
      <alignment horizontal="justify" vertical="center" wrapText="1"/>
    </xf>
    <xf numFmtId="0" fontId="29" fillId="0" borderId="0" xfId="0" applyFont="1" applyAlignment="1">
      <alignment horizontal="justify" vertical="top" wrapText="1"/>
    </xf>
    <xf numFmtId="0" fontId="1" fillId="0" borderId="0" xfId="0" applyFont="1" applyAlignment="1">
      <alignment horizontal="justify" wrapText="1"/>
    </xf>
    <xf numFmtId="4" fontId="3" fillId="0" borderId="0" xfId="0" applyNumberFormat="1" applyFont="1" applyAlignment="1">
      <alignment horizontal="left" vertical="top" wrapText="1"/>
    </xf>
    <xf numFmtId="3" fontId="47" fillId="17" borderId="3" xfId="0" applyNumberFormat="1" applyFont="1" applyFill="1" applyBorder="1" applyAlignment="1">
      <alignment horizontal="center" vertical="center" wrapText="1"/>
    </xf>
    <xf numFmtId="3" fontId="47" fillId="17" borderId="5" xfId="0" applyNumberFormat="1" applyFont="1" applyFill="1" applyBorder="1" applyAlignment="1">
      <alignment horizontal="center" vertical="center" wrapText="1"/>
    </xf>
    <xf numFmtId="3" fontId="47" fillId="17" borderId="8" xfId="0" applyNumberFormat="1" applyFont="1" applyFill="1" applyBorder="1" applyAlignment="1">
      <alignment horizontal="center" vertical="center" wrapText="1"/>
    </xf>
    <xf numFmtId="3" fontId="47" fillId="17" borderId="14" xfId="0" applyNumberFormat="1" applyFont="1" applyFill="1" applyBorder="1" applyAlignment="1">
      <alignment horizontal="center" vertical="center" wrapText="1"/>
    </xf>
    <xf numFmtId="4" fontId="3" fillId="0" borderId="4" xfId="0" quotePrefix="1" applyNumberFormat="1" applyFont="1" applyBorder="1" applyAlignment="1">
      <alignment horizontal="center" vertical="top" wrapText="1"/>
    </xf>
    <xf numFmtId="4" fontId="3" fillId="0" borderId="0" xfId="0" applyNumberFormat="1" applyFont="1" applyAlignment="1">
      <alignment horizontal="center" vertical="top" wrapText="1"/>
    </xf>
    <xf numFmtId="3" fontId="47" fillId="17" borderId="4" xfId="0" applyNumberFormat="1" applyFont="1" applyFill="1" applyBorder="1" applyAlignment="1">
      <alignment horizontal="center" vertical="center" wrapText="1"/>
    </xf>
    <xf numFmtId="3" fontId="47" fillId="17" borderId="13" xfId="0" applyNumberFormat="1" applyFont="1" applyFill="1" applyBorder="1" applyAlignment="1">
      <alignment horizontal="center" vertical="center" wrapText="1"/>
    </xf>
    <xf numFmtId="4" fontId="3" fillId="0" borderId="4" xfId="0" applyNumberFormat="1" applyFont="1" applyBorder="1" applyAlignment="1">
      <alignment horizontal="center" vertical="top" wrapText="1"/>
    </xf>
    <xf numFmtId="0" fontId="0" fillId="18" borderId="0" xfId="0" applyFill="1" applyAlignment="1">
      <alignment horizontal="justify" vertical="center"/>
    </xf>
    <xf numFmtId="3" fontId="47" fillId="17" borderId="1" xfId="0" applyNumberFormat="1" applyFont="1" applyFill="1" applyBorder="1" applyAlignment="1">
      <alignment horizontal="center" vertical="center" wrapText="1"/>
    </xf>
    <xf numFmtId="4" fontId="31" fillId="0" borderId="0" xfId="0" applyNumberFormat="1" applyFont="1" applyAlignment="1">
      <alignment horizontal="center" vertical="top" wrapText="1"/>
    </xf>
    <xf numFmtId="0" fontId="44" fillId="17" borderId="0" xfId="0" applyFont="1" applyFill="1" applyAlignment="1">
      <alignment horizontal="center" vertical="center"/>
    </xf>
    <xf numFmtId="0" fontId="4" fillId="0" borderId="0" xfId="0" applyFont="1" applyAlignment="1">
      <alignment horizontal="left" vertical="top" wrapText="1"/>
    </xf>
    <xf numFmtId="0" fontId="5" fillId="0" borderId="0" xfId="0" applyFont="1" applyAlignment="1">
      <alignment horizontal="justify" vertical="top" wrapText="1"/>
    </xf>
    <xf numFmtId="0" fontId="4" fillId="0" borderId="0" xfId="0" applyFont="1" applyAlignment="1">
      <alignment horizontal="justify" vertical="center" wrapText="1"/>
    </xf>
    <xf numFmtId="0" fontId="30" fillId="23" borderId="0" xfId="0" applyFont="1" applyFill="1" applyAlignment="1">
      <alignment horizontal="justify" vertical="center" wrapText="1"/>
    </xf>
    <xf numFmtId="3" fontId="3" fillId="0" borderId="0" xfId="0" quotePrefix="1" applyNumberFormat="1" applyFont="1" applyAlignment="1">
      <alignment horizontal="left" vertical="top" wrapText="1"/>
    </xf>
    <xf numFmtId="0" fontId="4" fillId="0" borderId="0" xfId="0" applyFont="1" applyAlignment="1">
      <alignment horizontal="justify" vertical="top" wrapText="1"/>
    </xf>
    <xf numFmtId="0" fontId="3" fillId="0" borderId="0" xfId="0" quotePrefix="1" applyFont="1" applyAlignment="1">
      <alignment horizontal="justify" vertical="top" wrapText="1"/>
    </xf>
    <xf numFmtId="0" fontId="28" fillId="0" borderId="0" xfId="0" applyFont="1" applyAlignment="1">
      <alignment horizontal="justify" vertical="top" wrapText="1"/>
    </xf>
    <xf numFmtId="0" fontId="31" fillId="0" borderId="0" xfId="0" applyFont="1" applyAlignment="1">
      <alignment horizontal="justify" wrapText="1"/>
    </xf>
    <xf numFmtId="0" fontId="3" fillId="23" borderId="0" xfId="0" applyFont="1" applyFill="1" applyAlignment="1">
      <alignment horizontal="justify" vertical="top" wrapText="1"/>
    </xf>
    <xf numFmtId="0" fontId="3" fillId="0" borderId="0" xfId="0" applyFont="1" applyAlignment="1">
      <alignment horizontal="left" wrapText="1"/>
    </xf>
    <xf numFmtId="0" fontId="29" fillId="0" borderId="7" xfId="0" applyFont="1" applyBorder="1" applyAlignment="1">
      <alignment horizontal="left" vertical="center" wrapText="1"/>
    </xf>
    <xf numFmtId="0" fontId="3" fillId="0" borderId="7" xfId="0" applyFont="1" applyBorder="1" applyAlignment="1">
      <alignment horizontal="left" vertical="center" wrapText="1"/>
    </xf>
    <xf numFmtId="0" fontId="29" fillId="0" borderId="0" xfId="0" applyFont="1" applyAlignment="1">
      <alignment horizontal="center" vertical="top" wrapText="1"/>
    </xf>
    <xf numFmtId="0" fontId="3" fillId="0" borderId="0" xfId="0" applyFont="1" applyAlignment="1">
      <alignment horizontal="center" vertical="top" wrapText="1"/>
    </xf>
    <xf numFmtId="0" fontId="64" fillId="23" borderId="2" xfId="0" quotePrefix="1" applyFont="1" applyFill="1" applyBorder="1" applyAlignment="1">
      <alignment horizontal="justify" vertical="top" wrapText="1"/>
    </xf>
    <xf numFmtId="0" fontId="64" fillId="23" borderId="15" xfId="0" applyFont="1" applyFill="1" applyBorder="1" applyAlignment="1">
      <alignment horizontal="justify" vertical="top" wrapText="1"/>
    </xf>
    <xf numFmtId="0" fontId="64" fillId="23" borderId="6" xfId="0" applyFont="1" applyFill="1" applyBorder="1" applyAlignment="1">
      <alignment horizontal="justify" vertical="top" wrapText="1"/>
    </xf>
    <xf numFmtId="0" fontId="64" fillId="23" borderId="2" xfId="0" applyFont="1" applyFill="1" applyBorder="1" applyAlignment="1">
      <alignment horizontal="justify" vertical="center" wrapText="1"/>
    </xf>
    <xf numFmtId="0" fontId="64" fillId="23" borderId="15" xfId="0" applyFont="1" applyFill="1" applyBorder="1" applyAlignment="1">
      <alignment horizontal="justify" vertical="center" wrapText="1"/>
    </xf>
    <xf numFmtId="0" fontId="64" fillId="23" borderId="6" xfId="0" applyFont="1" applyFill="1" applyBorder="1" applyAlignment="1">
      <alignment horizontal="justify" vertical="center" wrapText="1"/>
    </xf>
    <xf numFmtId="0" fontId="38" fillId="23" borderId="2" xfId="0" quotePrefix="1" applyFont="1" applyFill="1" applyBorder="1" applyAlignment="1">
      <alignment horizontal="justify" vertical="top" wrapText="1"/>
    </xf>
    <xf numFmtId="0" fontId="38" fillId="23" borderId="15" xfId="0" applyFont="1" applyFill="1" applyBorder="1" applyAlignment="1">
      <alignment horizontal="justify" vertical="top" wrapText="1"/>
    </xf>
    <xf numFmtId="0" fontId="38" fillId="23" borderId="6" xfId="0" applyFont="1" applyFill="1" applyBorder="1" applyAlignment="1">
      <alignment horizontal="justify" vertical="top" wrapText="1"/>
    </xf>
    <xf numFmtId="0" fontId="64" fillId="23" borderId="3" xfId="0" applyFont="1" applyFill="1" applyBorder="1" applyAlignment="1">
      <alignment horizontal="justify" vertical="top" wrapText="1"/>
    </xf>
    <xf numFmtId="0" fontId="64" fillId="23" borderId="4" xfId="0" applyFont="1" applyFill="1" applyBorder="1" applyAlignment="1">
      <alignment horizontal="justify" vertical="top" wrapText="1"/>
    </xf>
    <xf numFmtId="0" fontId="64" fillId="23" borderId="5" xfId="0" applyFont="1" applyFill="1" applyBorder="1" applyAlignment="1">
      <alignment horizontal="justify" vertical="top" wrapText="1"/>
    </xf>
    <xf numFmtId="0" fontId="64" fillId="23" borderId="7" xfId="0" applyFont="1" applyFill="1" applyBorder="1" applyAlignment="1">
      <alignment horizontal="justify" vertical="top" wrapText="1"/>
    </xf>
    <xf numFmtId="0" fontId="64" fillId="23" borderId="0" xfId="0" applyFont="1" applyFill="1" applyAlignment="1">
      <alignment horizontal="justify" vertical="top" wrapText="1"/>
    </xf>
    <xf numFmtId="0" fontId="64" fillId="23" borderId="12" xfId="0" applyFont="1" applyFill="1" applyBorder="1" applyAlignment="1">
      <alignment horizontal="justify" vertical="top" wrapText="1"/>
    </xf>
    <xf numFmtId="0" fontId="64" fillId="23" borderId="3" xfId="0" quotePrefix="1" applyFont="1" applyFill="1" applyBorder="1" applyAlignment="1">
      <alignment vertical="top" wrapText="1"/>
    </xf>
    <xf numFmtId="0" fontId="64" fillId="23" borderId="4" xfId="0" quotePrefix="1" applyFont="1" applyFill="1" applyBorder="1" applyAlignment="1">
      <alignment vertical="top" wrapText="1"/>
    </xf>
    <xf numFmtId="0" fontId="64" fillId="23" borderId="5" xfId="0" quotePrefix="1" applyFont="1" applyFill="1" applyBorder="1" applyAlignment="1">
      <alignment vertical="top" wrapText="1"/>
    </xf>
    <xf numFmtId="0" fontId="64" fillId="23" borderId="7" xfId="0" quotePrefix="1" applyFont="1" applyFill="1" applyBorder="1" applyAlignment="1">
      <alignment vertical="top" wrapText="1"/>
    </xf>
    <xf numFmtId="0" fontId="64" fillId="23" borderId="0" xfId="0" quotePrefix="1" applyFont="1" applyFill="1" applyAlignment="1">
      <alignment vertical="top" wrapText="1"/>
    </xf>
    <xf numFmtId="0" fontId="64" fillId="23" borderId="12" xfId="0" quotePrefix="1" applyFont="1" applyFill="1" applyBorder="1" applyAlignment="1">
      <alignment vertical="top" wrapText="1"/>
    </xf>
    <xf numFmtId="0" fontId="64" fillId="23" borderId="8" xfId="0" quotePrefix="1" applyFont="1" applyFill="1" applyBorder="1" applyAlignment="1">
      <alignment vertical="top" wrapText="1"/>
    </xf>
    <xf numFmtId="0" fontId="64" fillId="23" borderId="13" xfId="0" quotePrefix="1" applyFont="1" applyFill="1" applyBorder="1" applyAlignment="1">
      <alignment vertical="top" wrapText="1"/>
    </xf>
    <xf numFmtId="0" fontId="64" fillId="23" borderId="14" xfId="0" quotePrefix="1" applyFont="1" applyFill="1" applyBorder="1" applyAlignment="1">
      <alignment vertical="top" wrapText="1"/>
    </xf>
    <xf numFmtId="4" fontId="39" fillId="23" borderId="3" xfId="0" quotePrefix="1" applyNumberFormat="1" applyFont="1" applyFill="1" applyBorder="1" applyAlignment="1">
      <alignment horizontal="justify" vertical="top" wrapText="1"/>
    </xf>
    <xf numFmtId="4" fontId="39" fillId="23" borderId="4" xfId="0" quotePrefix="1" applyNumberFormat="1" applyFont="1" applyFill="1" applyBorder="1" applyAlignment="1">
      <alignment horizontal="justify" vertical="top" wrapText="1"/>
    </xf>
    <xf numFmtId="4" fontId="39" fillId="23" borderId="5" xfId="0" quotePrefix="1" applyNumberFormat="1" applyFont="1" applyFill="1" applyBorder="1" applyAlignment="1">
      <alignment horizontal="justify" vertical="top" wrapText="1"/>
    </xf>
    <xf numFmtId="4" fontId="39" fillId="23" borderId="7" xfId="0" quotePrefix="1" applyNumberFormat="1" applyFont="1" applyFill="1" applyBorder="1" applyAlignment="1">
      <alignment horizontal="justify" vertical="top" wrapText="1"/>
    </xf>
    <xf numFmtId="4" fontId="39" fillId="23" borderId="0" xfId="0" quotePrefix="1" applyNumberFormat="1" applyFont="1" applyFill="1" applyAlignment="1">
      <alignment horizontal="justify" vertical="top" wrapText="1"/>
    </xf>
    <xf numFmtId="4" fontId="39" fillId="23" borderId="12" xfId="0" quotePrefix="1" applyNumberFormat="1" applyFont="1" applyFill="1" applyBorder="1" applyAlignment="1">
      <alignment horizontal="justify" vertical="top" wrapText="1"/>
    </xf>
    <xf numFmtId="4" fontId="39" fillId="23" borderId="8" xfId="0" quotePrefix="1" applyNumberFormat="1" applyFont="1" applyFill="1" applyBorder="1" applyAlignment="1">
      <alignment horizontal="justify" vertical="top" wrapText="1"/>
    </xf>
    <xf numFmtId="4" fontId="39" fillId="23" borderId="13" xfId="0" quotePrefix="1" applyNumberFormat="1" applyFont="1" applyFill="1" applyBorder="1" applyAlignment="1">
      <alignment horizontal="justify" vertical="top" wrapText="1"/>
    </xf>
    <xf numFmtId="4" fontId="39" fillId="23" borderId="14" xfId="0" quotePrefix="1" applyNumberFormat="1" applyFont="1" applyFill="1" applyBorder="1" applyAlignment="1">
      <alignment horizontal="justify" vertical="top" wrapText="1"/>
    </xf>
    <xf numFmtId="0" fontId="51" fillId="21" borderId="0" xfId="0" applyFont="1" applyFill="1" applyAlignment="1">
      <alignment horizontal="center" vertical="top" wrapText="1"/>
    </xf>
    <xf numFmtId="0" fontId="51" fillId="0" borderId="0" xfId="0" applyFont="1" applyAlignment="1">
      <alignment horizontal="center"/>
    </xf>
    <xf numFmtId="0" fontId="48" fillId="23" borderId="3" xfId="0" applyFont="1" applyFill="1" applyBorder="1" applyAlignment="1">
      <alignment horizontal="center" vertical="top" wrapText="1"/>
    </xf>
    <xf numFmtId="0" fontId="48" fillId="23" borderId="5" xfId="0" applyFont="1" applyFill="1" applyBorder="1" applyAlignment="1">
      <alignment horizontal="center" vertical="top" wrapText="1"/>
    </xf>
    <xf numFmtId="4" fontId="48" fillId="23" borderId="9" xfId="0" applyNumberFormat="1" applyFont="1" applyFill="1" applyBorder="1" applyAlignment="1">
      <alignment horizontal="center" vertical="center"/>
    </xf>
    <xf numFmtId="4" fontId="48" fillId="23" borderId="11" xfId="0" applyNumberFormat="1" applyFont="1" applyFill="1" applyBorder="1" applyAlignment="1">
      <alignment horizontal="center" vertical="center"/>
    </xf>
    <xf numFmtId="0" fontId="48" fillId="23" borderId="3" xfId="0" applyFont="1" applyFill="1" applyBorder="1" applyAlignment="1">
      <alignment horizontal="center" vertical="top"/>
    </xf>
    <xf numFmtId="0" fontId="48" fillId="23" borderId="4" xfId="0" applyFont="1" applyFill="1" applyBorder="1" applyAlignment="1">
      <alignment horizontal="center" vertical="top"/>
    </xf>
    <xf numFmtId="0" fontId="48" fillId="23" borderId="5" xfId="0" applyFont="1" applyFill="1" applyBorder="1" applyAlignment="1">
      <alignment horizontal="center" vertical="top"/>
    </xf>
    <xf numFmtId="0" fontId="51" fillId="22" borderId="0" xfId="0" applyFont="1" applyFill="1" applyAlignment="1">
      <alignment horizontal="center" vertical="top" wrapText="1"/>
    </xf>
    <xf numFmtId="0" fontId="30" fillId="0" borderId="0" xfId="0" applyFont="1" applyAlignment="1">
      <alignment horizontal="justify" vertical="top" wrapText="1"/>
    </xf>
    <xf numFmtId="0" fontId="30" fillId="0" borderId="0" xfId="0" applyFont="1" applyAlignment="1">
      <alignment horizontal="justify" vertical="top"/>
    </xf>
    <xf numFmtId="0" fontId="30" fillId="0" borderId="4" xfId="0" applyFont="1" applyBorder="1" applyAlignment="1">
      <alignment horizontal="justify" vertical="top" wrapText="1"/>
    </xf>
    <xf numFmtId="0" fontId="30" fillId="0" borderId="4" xfId="0" applyFont="1" applyBorder="1" applyAlignment="1">
      <alignment horizontal="justify" vertical="top"/>
    </xf>
    <xf numFmtId="0" fontId="30" fillId="0" borderId="2" xfId="0" applyFont="1" applyBorder="1" applyAlignment="1">
      <alignment horizontal="justify" vertical="center" wrapText="1"/>
    </xf>
    <xf numFmtId="0" fontId="30" fillId="0" borderId="15" xfId="0" applyFont="1" applyBorder="1" applyAlignment="1">
      <alignment horizontal="justify" vertical="center" wrapText="1"/>
    </xf>
    <xf numFmtId="0" fontId="30" fillId="0" borderId="6" xfId="0" applyFont="1" applyBorder="1" applyAlignment="1">
      <alignment horizontal="justify" vertical="center" wrapText="1"/>
    </xf>
    <xf numFmtId="4" fontId="4" fillId="4" borderId="9" xfId="0" applyNumberFormat="1" applyFont="1" applyFill="1" applyBorder="1" applyAlignment="1">
      <alignment horizontal="center"/>
    </xf>
    <xf numFmtId="4" fontId="4" fillId="4" borderId="11" xfId="0" applyNumberFormat="1" applyFont="1" applyFill="1" applyBorder="1" applyAlignment="1">
      <alignment horizontal="center"/>
    </xf>
    <xf numFmtId="4" fontId="4" fillId="4" borderId="10" xfId="0" applyNumberFormat="1" applyFont="1" applyFill="1" applyBorder="1" applyAlignment="1">
      <alignment horizontal="center"/>
    </xf>
    <xf numFmtId="4" fontId="4" fillId="12" borderId="1" xfId="0" applyNumberFormat="1" applyFont="1" applyFill="1" applyBorder="1" applyAlignment="1">
      <alignment horizontal="center"/>
    </xf>
    <xf numFmtId="0" fontId="4" fillId="12" borderId="1" xfId="0" applyFont="1" applyFill="1" applyBorder="1" applyAlignment="1">
      <alignment horizontal="center"/>
    </xf>
    <xf numFmtId="0" fontId="18" fillId="14" borderId="13" xfId="0" applyFont="1" applyFill="1" applyBorder="1" applyAlignment="1">
      <alignment horizontal="center"/>
    </xf>
    <xf numFmtId="0" fontId="17" fillId="10" borderId="0" xfId="0" applyFont="1" applyFill="1" applyAlignment="1">
      <alignment horizontal="center"/>
    </xf>
    <xf numFmtId="4" fontId="4" fillId="3" borderId="1" xfId="0" applyNumberFormat="1" applyFont="1" applyFill="1" applyBorder="1" applyAlignment="1">
      <alignment horizontal="center"/>
    </xf>
    <xf numFmtId="0" fontId="17" fillId="14" borderId="0" xfId="0" applyFont="1" applyFill="1" applyAlignment="1">
      <alignment horizontal="center"/>
    </xf>
    <xf numFmtId="0" fontId="4" fillId="8" borderId="1" xfId="0" applyFont="1" applyFill="1" applyBorder="1" applyAlignment="1">
      <alignment horizontal="center"/>
    </xf>
    <xf numFmtId="4" fontId="4" fillId="4" borderId="2" xfId="0" applyNumberFormat="1" applyFont="1" applyFill="1" applyBorder="1" applyAlignment="1">
      <alignment horizontal="center"/>
    </xf>
    <xf numFmtId="4" fontId="0" fillId="4" borderId="1" xfId="0" applyNumberFormat="1" applyFill="1" applyBorder="1" applyAlignment="1">
      <alignment horizontal="center"/>
    </xf>
    <xf numFmtId="0" fontId="4" fillId="7" borderId="0" xfId="0" applyFont="1" applyFill="1" applyAlignment="1">
      <alignment horizontal="center"/>
    </xf>
    <xf numFmtId="4" fontId="4" fillId="2" borderId="9" xfId="0" applyNumberFormat="1" applyFont="1" applyFill="1" applyBorder="1" applyAlignment="1" applyProtection="1">
      <alignment horizontal="center"/>
      <protection locked="0"/>
    </xf>
    <xf numFmtId="4" fontId="4" fillId="2" borderId="10" xfId="0" applyNumberFormat="1" applyFont="1" applyFill="1" applyBorder="1" applyAlignment="1" applyProtection="1">
      <alignment horizontal="center"/>
      <protection locked="0"/>
    </xf>
    <xf numFmtId="4" fontId="4" fillId="4" borderId="1" xfId="0" applyNumberFormat="1" applyFont="1" applyFill="1" applyBorder="1" applyAlignment="1">
      <alignment horizontal="center"/>
    </xf>
    <xf numFmtId="0" fontId="4" fillId="4" borderId="1" xfId="0" applyFont="1" applyFill="1" applyBorder="1" applyAlignment="1">
      <alignment horizontal="center"/>
    </xf>
    <xf numFmtId="0" fontId="20" fillId="8" borderId="1" xfId="0" applyFont="1" applyFill="1" applyBorder="1" applyAlignment="1">
      <alignment horizontal="center"/>
    </xf>
    <xf numFmtId="0" fontId="18" fillId="10" borderId="13" xfId="0" applyFont="1" applyFill="1" applyBorder="1" applyAlignment="1">
      <alignment horizontal="center"/>
    </xf>
    <xf numFmtId="3" fontId="2" fillId="5" borderId="3" xfId="0" applyNumberFormat="1" applyFont="1" applyFill="1" applyBorder="1" applyAlignment="1">
      <alignment horizontal="center"/>
    </xf>
    <xf numFmtId="3" fontId="2" fillId="5" borderId="5" xfId="0" applyNumberFormat="1" applyFont="1" applyFill="1" applyBorder="1" applyAlignment="1">
      <alignment horizontal="center"/>
    </xf>
    <xf numFmtId="0" fontId="4" fillId="3" borderId="8"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4" fontId="4" fillId="3" borderId="2"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164" fontId="4" fillId="3" borderId="2"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cellXfs>
  <cellStyles count="2">
    <cellStyle name="Link" xfId="1" builtinId="8"/>
    <cellStyle name="Standard" xfId="0" builtinId="0"/>
  </cellStyles>
  <dxfs count="6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rgb="FF800000"/>
        </patternFill>
      </fill>
    </dxf>
    <dxf>
      <fill>
        <patternFill>
          <bgColor rgb="FF800000"/>
        </patternFill>
      </fill>
    </dxf>
    <dxf>
      <font>
        <color rgb="FFFF0000"/>
      </font>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b/>
        <i val="0"/>
        <color theme="7" tint="0.59996337778862885"/>
      </font>
      <fill>
        <patternFill>
          <bgColor rgb="FFFF0000"/>
        </patternFill>
      </fill>
    </dxf>
    <dxf>
      <font>
        <color theme="5" tint="0.79998168889431442"/>
      </font>
      <fill>
        <patternFill>
          <bgColor rgb="FFCC0000"/>
        </patternFill>
      </fill>
    </dxf>
    <dxf>
      <font>
        <color theme="9" tint="0.79998168889431442"/>
      </font>
      <fill>
        <patternFill>
          <bgColor theme="9" tint="-0.499984740745262"/>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rgb="FF5CB77A"/>
        </patternFill>
      </fill>
    </dxf>
    <dxf>
      <fill>
        <patternFill patternType="none">
          <bgColor indexed="65"/>
        </patternFill>
      </fill>
    </dxf>
    <dxf>
      <fill>
        <patternFill patternType="none">
          <bgColor indexed="65"/>
        </patternFill>
      </fill>
    </dxf>
    <dxf>
      <fill>
        <patternFill patternType="solid">
          <bgColor rgb="FF565650"/>
        </patternFill>
      </fill>
    </dxf>
    <dxf>
      <fill>
        <patternFill patternType="none">
          <bgColor indexed="65"/>
        </patternFill>
      </fill>
    </dxf>
    <dxf>
      <fill>
        <patternFill>
          <bgColor rgb="FF5CB77A"/>
        </patternFill>
      </fill>
    </dxf>
    <dxf>
      <fill>
        <patternFill patternType="none">
          <bgColor indexed="65"/>
        </patternFill>
      </fill>
    </dxf>
    <dxf>
      <fill>
        <patternFill>
          <bgColor rgb="FF5CB77A"/>
        </patternFill>
      </fill>
    </dxf>
    <dxf>
      <fill>
        <patternFill>
          <bgColor rgb="FF5CB77A"/>
        </patternFill>
      </fill>
    </dxf>
    <dxf>
      <fill>
        <patternFill>
          <bgColor rgb="FF5CB77A"/>
        </patternFill>
      </fill>
    </dxf>
    <dxf>
      <fill>
        <patternFill>
          <bgColor indexed="43"/>
        </patternFill>
      </fill>
    </dxf>
    <dxf>
      <fill>
        <patternFill>
          <bgColor rgb="FF5CB77A"/>
        </patternFill>
      </fill>
    </dxf>
    <dxf>
      <font>
        <b val="0"/>
        <i/>
        <strike val="0"/>
        <condense val="0"/>
        <extend val="0"/>
        <color indexed="10"/>
      </font>
    </dxf>
    <dxf>
      <fill>
        <patternFill>
          <bgColor rgb="FF5CB77A"/>
        </patternFill>
      </fill>
    </dxf>
    <dxf>
      <fill>
        <patternFill>
          <bgColor rgb="FF565650"/>
        </patternFill>
      </fill>
    </dxf>
    <dxf>
      <fill>
        <patternFill>
          <bgColor rgb="FF5CB77A"/>
        </patternFill>
      </fill>
    </dxf>
    <dxf>
      <fill>
        <patternFill>
          <bgColor rgb="FF565650"/>
        </patternFill>
      </fill>
    </dxf>
    <dxf>
      <fill>
        <patternFill>
          <bgColor rgb="FF5CB77A"/>
        </patternFill>
      </fill>
    </dxf>
    <dxf>
      <font>
        <color theme="0"/>
      </font>
      <fill>
        <patternFill>
          <bgColor rgb="FF800000"/>
        </patternFill>
      </fill>
    </dxf>
    <dxf>
      <fill>
        <patternFill>
          <bgColor theme="5" tint="0.79998168889431442"/>
        </patternFill>
      </fill>
    </dxf>
    <dxf>
      <fill>
        <patternFill>
          <bgColor rgb="FF5CB77A"/>
        </patternFill>
      </fill>
    </dxf>
    <dxf>
      <fill>
        <patternFill patternType="none">
          <bgColor indexed="65"/>
        </patternFill>
      </fill>
    </dxf>
    <dxf>
      <fill>
        <patternFill patternType="none">
          <bgColor indexed="65"/>
        </patternFill>
      </fill>
    </dxf>
    <dxf>
      <fill>
        <patternFill>
          <bgColor rgb="FF5CB77A"/>
        </patternFill>
      </fill>
    </dxf>
    <dxf>
      <fill>
        <patternFill patternType="none">
          <bgColor indexed="65"/>
        </patternFill>
      </fill>
    </dxf>
    <dxf>
      <fill>
        <patternFill patternType="solid">
          <bgColor rgb="FF565650"/>
        </patternFill>
      </fill>
    </dxf>
    <dxf>
      <fill>
        <patternFill patternType="none">
          <bgColor indexed="65"/>
        </patternFill>
      </fill>
    </dxf>
    <dxf>
      <fill>
        <patternFill>
          <bgColor indexed="43"/>
        </patternFill>
      </fill>
    </dxf>
    <dxf>
      <font>
        <b val="0"/>
        <i/>
        <strike val="0"/>
        <condense val="0"/>
        <extend val="0"/>
        <color indexed="10"/>
      </font>
    </dxf>
    <dxf>
      <fill>
        <patternFill>
          <bgColor rgb="FF5CB77A"/>
        </patternFill>
      </fill>
    </dxf>
    <dxf>
      <fill>
        <patternFill>
          <bgColor rgb="FF565650"/>
        </patternFill>
      </fill>
    </dxf>
    <dxf>
      <fill>
        <patternFill>
          <bgColor rgb="FF5CB77A"/>
        </patternFill>
      </fill>
    </dxf>
    <dxf>
      <fill>
        <patternFill>
          <bgColor rgb="FF565650"/>
        </patternFill>
      </fill>
    </dxf>
    <dxf>
      <fill>
        <patternFill>
          <bgColor rgb="FF5CB77A"/>
        </patternFill>
      </fill>
    </dxf>
    <dxf>
      <fill>
        <patternFill>
          <bgColor theme="5" tint="0.79998168889431442"/>
        </patternFill>
      </fill>
    </dxf>
    <dxf>
      <fill>
        <patternFill>
          <bgColor rgb="FF565650"/>
        </patternFill>
      </fill>
    </dxf>
    <dxf>
      <fill>
        <patternFill>
          <bgColor theme="5" tint="0.79998168889431442"/>
        </patternFill>
      </fill>
    </dxf>
    <dxf>
      <fill>
        <patternFill>
          <bgColor rgb="FFFF0000"/>
        </patternFill>
      </fill>
    </dxf>
    <dxf>
      <fill>
        <patternFill>
          <bgColor rgb="FF800000"/>
        </patternFill>
      </fill>
    </dxf>
    <dxf>
      <fill>
        <patternFill>
          <bgColor theme="8"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Info Texte'!B3" lockText="1"/>
</file>

<file path=xl/ctrlProps/ctrlProp2.xml><?xml version="1.0" encoding="utf-8"?>
<formControlPr xmlns="http://schemas.microsoft.com/office/spreadsheetml/2009/9/main" objectType="CheckBox" fmlaLink="'Info Texte'!C3" lockText="1"/>
</file>

<file path=xl/ctrlProps/ctrlProp3.xml><?xml version="1.0" encoding="utf-8"?>
<formControlPr xmlns="http://schemas.microsoft.com/office/spreadsheetml/2009/9/main" objectType="CheckBox" fmlaLink="'Info Texte'!D3" lockText="1"/>
</file>

<file path=xl/ctrlProps/ctrlProp4.xml><?xml version="1.0" encoding="utf-8"?>
<formControlPr xmlns="http://schemas.microsoft.com/office/spreadsheetml/2009/9/main" objectType="CheckBox" fmlaLink="'Info Texte'!E3" lockText="1"/>
</file>

<file path=xl/ctrlProps/ctrlProp5.xml><?xml version="1.0" encoding="utf-8"?>
<formControlPr xmlns="http://schemas.microsoft.com/office/spreadsheetml/2009/9/main" objectType="CheckBox" fmlaLink="'Info Texte'!G3" lockText="1"/>
</file>

<file path=xl/ctrlProps/ctrlProp6.xml><?xml version="1.0" encoding="utf-8"?>
<formControlPr xmlns="http://schemas.microsoft.com/office/spreadsheetml/2009/9/main" objectType="CheckBox" fmlaLink="'Info Texte'!F3" lockText="1"/>
</file>

<file path=xl/ctrlProps/ctrlProp7.xml><?xml version="1.0" encoding="utf-8"?>
<formControlPr xmlns="http://schemas.microsoft.com/office/spreadsheetml/2009/9/main" objectType="CheckBox" fmlaLink="'Info Texte'!H3" lockText="1"/>
</file>

<file path=xl/ctrlProps/ctrlProp8.xml><?xml version="1.0" encoding="utf-8"?>
<formControlPr xmlns="http://schemas.microsoft.com/office/spreadsheetml/2009/9/main" objectType="CheckBox" fmlaLink="'Info Texte'!I3" lockText="1"/>
</file>

<file path=xl/ctrlProps/ctrlProp9.xml><?xml version="1.0" encoding="utf-8"?>
<formControlPr xmlns="http://schemas.microsoft.com/office/spreadsheetml/2009/9/main" objectType="CheckBox" fmlaLink="'Info Texte'!$J$3" lockText="1"/>
</file>

<file path=xl/ctrlProps/ctrlProp10.xml><?xml version="1.0" encoding="utf-8"?>
<formControlPr xmlns="http://schemas.microsoft.com/office/spreadsheetml/2009/9/main" objectType="CheckBox" fmlaLink="'Info Texte'!$K$3" lockText="1"/>
</file>

<file path=xl/ctrlProps/ctrlProp11.xml><?xml version="1.0" encoding="utf-8"?>
<formControlPr xmlns="http://schemas.microsoft.com/office/spreadsheetml/2009/9/main" objectType="CheckBox" fmlaLink="'Info Texte'!$L$3" lockText="1"/>
</file>

<file path=xl/ctrlProps/ctrlProp12.xml><?xml version="1.0" encoding="utf-8"?>
<formControlPr xmlns="http://schemas.microsoft.com/office/spreadsheetml/2009/9/main" objectType="CheckBox" fmlaLink="'Info Texte'!$M$3" lockText="1"/>
</file>

<file path=xl/ctrlProps/ctrlProp13.xml><?xml version="1.0" encoding="utf-8"?>
<formControlPr xmlns="http://schemas.microsoft.com/office/spreadsheetml/2009/9/main" objectType="CheckBox" fmlaLink="'Info Texte'!$N$3" lockText="1"/>
</file>

<file path=xl/ctrlProps/ctrlProp14.xml><?xml version="1.0" encoding="utf-8"?>
<formControlPr xmlns="http://schemas.microsoft.com/office/spreadsheetml/2009/9/main" objectType="CheckBox" fmlaLink="'Info Texte'!$O$3" lockText="1"/>
</file>

<file path=xl/ctrlProps/ctrlProp15.xml><?xml version="1.0" encoding="utf-8"?>
<formControlPr xmlns="http://schemas.microsoft.com/office/spreadsheetml/2009/9/main" objectType="Drop" dropStyle="combo" dx="22" fmlaLink="'Verknüpfungen 1'!$M$1" fmlaRange="'Verknüpfungen 1'!$N$2:$N$19" noThreeD="1" sel="11" val="9"/>
</file>

<file path=xl/ctrlProps/ctrlProp16.xml><?xml version="1.0" encoding="utf-8"?>
<formControlPr xmlns="http://schemas.microsoft.com/office/spreadsheetml/2009/9/main" objectType="Drop" dropStyle="combo" dx="22" fmlaLink="'Verknüpfungen 1'!$G$1" fmlaRange="'Verknüpfungen 1'!$I$2:$I$5" noThreeD="1" sel="1" val="0"/>
</file>

<file path=xl/ctrlProps/ctrlProp17.xml><?xml version="1.0" encoding="utf-8"?>
<formControlPr xmlns="http://schemas.microsoft.com/office/spreadsheetml/2009/9/main" objectType="Drop" dropStyle="combo" dx="22" fmlaLink="'Verknüpfungen 1'!$H$7" fmlaRange="'Verknüpfungen 1'!$I$8:$I$12" noThreeD="1" sel="2" val="0"/>
</file>

<file path=xl/ctrlProps/ctrlProp18.xml><?xml version="1.0" encoding="utf-8"?>
<formControlPr xmlns="http://schemas.microsoft.com/office/spreadsheetml/2009/9/main" objectType="CheckBox" fmlaLink="Bedienungsanleitungen!B3" lockText="1"/>
</file>

<file path=xl/ctrlProps/ctrlProp19.xml><?xml version="1.0" encoding="utf-8"?>
<formControlPr xmlns="http://schemas.microsoft.com/office/spreadsheetml/2009/9/main" objectType="CheckBox" fmlaLink="Bedienungsanleitungen!E3" lockText="1"/>
</file>

<file path=xl/ctrlProps/ctrlProp20.xml><?xml version="1.0" encoding="utf-8"?>
<formControlPr xmlns="http://schemas.microsoft.com/office/spreadsheetml/2009/9/main" objectType="Drop" dropStyle="combo" dx="22" fmlaLink="'Verknüpfungen 2'!$M$1" fmlaRange="'Verknüpfungen 1'!$N$2:$N$19" noThreeD="1" sel="11" val="9"/>
</file>

<file path=xl/ctrlProps/ctrlProp21.xml><?xml version="1.0" encoding="utf-8"?>
<formControlPr xmlns="http://schemas.microsoft.com/office/spreadsheetml/2009/9/main" objectType="Drop" dropStyle="combo" dx="22" fmlaLink="'Verknüpfungen 2'!$G$1" fmlaRange="'Verknüpfungen 1'!$I$2:$I$5" noThreeD="1" sel="1" val="0"/>
</file>

<file path=xl/ctrlProps/ctrlProp22.xml><?xml version="1.0" encoding="utf-8"?>
<formControlPr xmlns="http://schemas.microsoft.com/office/spreadsheetml/2009/9/main" objectType="Drop" dropStyle="combo" dx="22" fmlaLink="'Verknüpfungen 2'!$H$7" fmlaRange="'Verknüpfungen 1'!$I$8:$I$12" noThreeD="1" sel="1" val="0"/>
</file>

<file path=xl/ctrlProps/ctrlProp23.xml><?xml version="1.0" encoding="utf-8"?>
<formControlPr xmlns="http://schemas.microsoft.com/office/spreadsheetml/2009/9/main" objectType="CheckBox" fmlaLink="Bedienungsanleitungen!P3" lockText="1"/>
</file>

<file path=xl/ctrlProps/ctrlProp24.xml><?xml version="1.0" encoding="utf-8"?>
<formControlPr xmlns="http://schemas.microsoft.com/office/spreadsheetml/2009/9/main" objectType="CheckBox" fmlaLink="Bedienungsanleitungen!R3" lockText="1"/>
</file>

<file path=xl/ctrlProps/ctrlProp25.xml><?xml version="1.0" encoding="utf-8"?>
<formControlPr xmlns="http://schemas.microsoft.com/office/spreadsheetml/2009/9/main" objectType="CheckBox" fmlaLink="Bedienungsanleitungen!T3" lockText="1"/>
</file>

<file path=xl/ctrlProps/ctrlProp26.xml><?xml version="1.0" encoding="utf-8"?>
<formControlPr xmlns="http://schemas.microsoft.com/office/spreadsheetml/2009/9/main" objectType="CheckBox" fmlaLink="Bedienungsanleitungen!V3" lockText="1"/>
</file>

<file path=xl/ctrlProps/ctrlProp27.xml><?xml version="1.0" encoding="utf-8"?>
<formControlPr xmlns="http://schemas.microsoft.com/office/spreadsheetml/2009/9/main" objectType="CheckBox" fmlaLink="Bedienungsanleitungen!X3" lockText="1"/>
</file>

<file path=xl/ctrlProps/ctrlProp28.xml><?xml version="1.0" encoding="utf-8"?>
<formControlPr xmlns="http://schemas.microsoft.com/office/spreadsheetml/2009/9/main" objectType="CheckBox" fmlaLink="Bedienungsanleitungen!Z3" lockText="1"/>
</file>

<file path=xl/ctrlProps/ctrlProp29.xml><?xml version="1.0" encoding="utf-8"?>
<formControlPr xmlns="http://schemas.microsoft.com/office/spreadsheetml/2009/9/main" objectType="CheckBox" fmlaLink="Bedienungsanleitungen!AB3" lockText="1"/>
</file>

<file path=xl/ctrlProps/ctrlProp30.xml><?xml version="1.0" encoding="utf-8"?>
<formControlPr xmlns="http://schemas.microsoft.com/office/spreadsheetml/2009/9/main" objectType="Drop" dropStyle="combo" dx="22" fmlaLink="'Verknüpfungen 1'!$H$18" fmlaRange="'Verknüpfungen 1'!$I$19:$I$22" noThreeD="1" sel="1" val="0"/>
</file>

<file path=xl/ctrlProps/ctrlProp31.xml><?xml version="1.0" encoding="utf-8"?>
<formControlPr xmlns="http://schemas.microsoft.com/office/spreadsheetml/2009/9/main" objectType="CheckBox" fmlaLink="'Verknüpfungen 1'!$J$19" lockText="1"/>
</file>

<file path=xl/ctrlProps/ctrlProp32.xml><?xml version="1.0" encoding="utf-8"?>
<formControlPr xmlns="http://schemas.microsoft.com/office/spreadsheetml/2009/9/main" objectType="Drop" dropStyle="combo" dx="22" fmlaLink="'Verknüpfungen 1'!$H$23" fmlaRange="'Verknüpfungen 1'!$I$24:$I$27" noThreeD="1" sel="1" val="0"/>
</file>

<file path=xl/ctrlProps/ctrlProp33.xml><?xml version="1.0" encoding="utf-8"?>
<formControlPr xmlns="http://schemas.microsoft.com/office/spreadsheetml/2009/9/main" objectType="CheckBox" fmlaLink="'Verknüpfungen 1'!$J$20" lockText="1"/>
</file>

<file path=xl/ctrlProps/ctrlProp34.xml><?xml version="1.0" encoding="utf-8"?>
<formControlPr xmlns="http://schemas.microsoft.com/office/spreadsheetml/2009/9/main" objectType="Drop" dropStyle="combo" dx="22" fmlaLink="'Verknüpfungen 1'!$H$28" fmlaRange="'Verknüpfungen 1'!$I$29:$I$32" noThreeD="1" sel="1" val="0"/>
</file>

<file path=xl/ctrlProps/ctrlProp35.xml><?xml version="1.0" encoding="utf-8"?>
<formControlPr xmlns="http://schemas.microsoft.com/office/spreadsheetml/2009/9/main" objectType="CheckBox" fmlaLink="'Verknüpfungen 1'!$J$21" lockText="1"/>
</file>

<file path=xl/ctrlProps/ctrlProp36.xml><?xml version="1.0" encoding="utf-8"?>
<formControlPr xmlns="http://schemas.microsoft.com/office/spreadsheetml/2009/9/main" objectType="Drop" dropStyle="combo" dx="22" fmlaLink="'Verknüpfungen 1'!$H$33" fmlaRange="'Verknüpfungen 1'!$I$34:$I$37" noThreeD="1" sel="1" val="0"/>
</file>

<file path=xl/ctrlProps/ctrlProp37.xml><?xml version="1.0" encoding="utf-8"?>
<formControlPr xmlns="http://schemas.microsoft.com/office/spreadsheetml/2009/9/main" objectType="CheckBox" fmlaLink="'Verknüpfungen 1'!$J$22" lockText="1"/>
</file>

<file path=xl/ctrlProps/ctrlProp38.xml><?xml version="1.0" encoding="utf-8"?>
<formControlPr xmlns="http://schemas.microsoft.com/office/spreadsheetml/2009/9/main" objectType="Drop" dropStyle="combo" dx="22" fmlaLink="'Verknüpfungen 1'!$H$38" fmlaRange="'Verknüpfungen 1'!$I$39:$I$42" noThreeD="1" sel="1" val="0"/>
</file>

<file path=xl/ctrlProps/ctrlProp39.xml><?xml version="1.0" encoding="utf-8"?>
<formControlPr xmlns="http://schemas.microsoft.com/office/spreadsheetml/2009/9/main" objectType="CheckBox" fmlaLink="'Verknüpfungen 1'!$J$23" lockText="1"/>
</file>

<file path=xl/ctrlProps/ctrlProp40.xml><?xml version="1.0" encoding="utf-8"?>
<formControlPr xmlns="http://schemas.microsoft.com/office/spreadsheetml/2009/9/main" objectType="Drop" dropStyle="combo" dx="22" fmlaLink="'Verknüpfungen 1'!$H$43" fmlaRange="'Verknüpfungen 1'!$I$44:$I$47" noThreeD="1" sel="1" val="0"/>
</file>

<file path=xl/ctrlProps/ctrlProp41.xml><?xml version="1.0" encoding="utf-8"?>
<formControlPr xmlns="http://schemas.microsoft.com/office/spreadsheetml/2009/9/main" objectType="CheckBox" fmlaLink="'Verknüpfungen 1'!$J$24" lockText="1"/>
</file>

<file path=xl/ctrlProps/ctrlProp42.xml><?xml version="1.0" encoding="utf-8"?>
<formControlPr xmlns="http://schemas.microsoft.com/office/spreadsheetml/2009/9/main" objectType="CheckBox" fmlaLink="Bedienungsanleitungen!AD3" lockText="1"/>
</file>

<file path=xl/ctrlProps/ctrlProp43.xml><?xml version="1.0" encoding="utf-8"?>
<formControlPr xmlns="http://schemas.microsoft.com/office/spreadsheetml/2009/9/main" objectType="Drop" dropStyle="combo" dx="22" fmlaLink="'Verknüpfungen 1'!$G$1" fmlaRange="'Verknüpfungen 1'!$I$2:$I$5" noThreeD="1" sel="1" val="0"/>
</file>

<file path=xl/ctrlProps/ctrlProp44.xml><?xml version="1.0" encoding="utf-8"?>
<formControlPr xmlns="http://schemas.microsoft.com/office/spreadsheetml/2009/9/main" objectType="Drop" dropStyle="combo" dx="22" fmlaLink="'Verknüpfungen 1'!$M$1" fmlaRange="'Verknüpfungen 1'!$N$2:$N$19" noThreeD="1" sel="11" val="0"/>
</file>

<file path=xl/ctrlProps/ctrlProp45.xml><?xml version="1.0" encoding="utf-8"?>
<formControlPr xmlns="http://schemas.microsoft.com/office/spreadsheetml/2009/9/main" objectType="Drop" dropStyle="combo" dx="22" fmlaLink="'Verknüpfungen 1'!$H$7" fmlaRange="'Verknüpfungen 1'!$I$8:$I$12" noThreeD="1" sel="2" val="0"/>
</file>

<file path=xl/ctrlProps/ctrlProp46.xml><?xml version="1.0" encoding="utf-8"?>
<formControlPr xmlns="http://schemas.microsoft.com/office/spreadsheetml/2009/9/main" objectType="CheckBox" fmlaLink="'Verknüpfungen 1'!$A$12" lockText="1" noThreeD="1"/>
</file>

<file path=xl/ctrlProps/ctrlProp47.xml><?xml version="1.0" encoding="utf-8"?>
<formControlPr xmlns="http://schemas.microsoft.com/office/spreadsheetml/2009/9/main" objectType="CheckBox" fmlaLink="'Verknüpfungen 1'!$A$12" lockText="1" noThreeD="1"/>
</file>

<file path=xl/ctrlProps/ctrlProp48.xml><?xml version="1.0" encoding="utf-8"?>
<formControlPr xmlns="http://schemas.microsoft.com/office/spreadsheetml/2009/9/main" objectType="Drop" dropStyle="combo" dx="22" fmlaLink="'Verknüpfungen 2'!$H$1" fmlaRange="'Verknüpfungen 1'!$I$2:$I$5" noThreeD="1" sel="1" val="0"/>
</file>

<file path=xl/ctrlProps/ctrlProp49.xml><?xml version="1.0" encoding="utf-8"?>
<formControlPr xmlns="http://schemas.microsoft.com/office/spreadsheetml/2009/9/main" objectType="Drop" dropStyle="combo" dx="22" fmlaLink="'Verknüpfungen 2'!$M$1" fmlaRange="'Verknüpfungen 1'!$N$2:$N$19" noThreeD="1" sel="11" val="0"/>
</file>

<file path=xl/ctrlProps/ctrlProp50.xml><?xml version="1.0" encoding="utf-8"?>
<formControlPr xmlns="http://schemas.microsoft.com/office/spreadsheetml/2009/9/main" objectType="Drop" dropStyle="combo" dx="22" fmlaLink="'Verknüpfungen 2'!$H$7" fmlaRange="'Verknüpfungen 1'!$I$8:$I$12" noThreeD="1" sel="1" val="0"/>
</file>

<file path=xl/ctrlProps/ctrlProp51.xml><?xml version="1.0" encoding="utf-8"?>
<formControlPr xmlns="http://schemas.microsoft.com/office/spreadsheetml/2009/9/main" objectType="CheckBox" fmlaLink="'Verknüpfungen 1'!$A$12" lockText="1" noThreeD="1"/>
</file>

<file path=xl/ctrlProps/ctrlProp52.xml><?xml version="1.0" encoding="utf-8"?>
<formControlPr xmlns="http://schemas.microsoft.com/office/spreadsheetml/2009/9/main" objectType="CheckBox" fmlaLink="'Verknüpfungen 1'!$A$12"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274320</xdr:colOff>
          <xdr:row>4</xdr:row>
          <xdr:rowOff>213360</xdr:rowOff>
        </xdr:from>
        <xdr:to>
          <xdr:col>5</xdr:col>
          <xdr:colOff>579120</xdr:colOff>
          <xdr:row>6</xdr:row>
          <xdr:rowOff>30480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6</xdr:row>
          <xdr:rowOff>213360</xdr:rowOff>
        </xdr:from>
        <xdr:to>
          <xdr:col>5</xdr:col>
          <xdr:colOff>579120</xdr:colOff>
          <xdr:row>8</xdr:row>
          <xdr:rowOff>30480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8</xdr:row>
          <xdr:rowOff>213360</xdr:rowOff>
        </xdr:from>
        <xdr:to>
          <xdr:col>5</xdr:col>
          <xdr:colOff>579120</xdr:colOff>
          <xdr:row>10</xdr:row>
          <xdr:rowOff>30480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0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14</xdr:row>
          <xdr:rowOff>22860</xdr:rowOff>
        </xdr:from>
        <xdr:to>
          <xdr:col>5</xdr:col>
          <xdr:colOff>594360</xdr:colOff>
          <xdr:row>16</xdr:row>
          <xdr:rowOff>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18</xdr:row>
          <xdr:rowOff>22860</xdr:rowOff>
        </xdr:from>
        <xdr:to>
          <xdr:col>5</xdr:col>
          <xdr:colOff>594360</xdr:colOff>
          <xdr:row>20</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16</xdr:row>
          <xdr:rowOff>22860</xdr:rowOff>
        </xdr:from>
        <xdr:to>
          <xdr:col>5</xdr:col>
          <xdr:colOff>594360</xdr:colOff>
          <xdr:row>18</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26</xdr:row>
          <xdr:rowOff>22860</xdr:rowOff>
        </xdr:from>
        <xdr:to>
          <xdr:col>5</xdr:col>
          <xdr:colOff>594360</xdr:colOff>
          <xdr:row>28</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28</xdr:row>
          <xdr:rowOff>22860</xdr:rowOff>
        </xdr:from>
        <xdr:to>
          <xdr:col>5</xdr:col>
          <xdr:colOff>594360</xdr:colOff>
          <xdr:row>30</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30</xdr:row>
          <xdr:rowOff>22860</xdr:rowOff>
        </xdr:from>
        <xdr:to>
          <xdr:col>5</xdr:col>
          <xdr:colOff>594360</xdr:colOff>
          <xdr:row>32</xdr:row>
          <xdr:rowOff>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0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32</xdr:row>
          <xdr:rowOff>22860</xdr:rowOff>
        </xdr:from>
        <xdr:to>
          <xdr:col>5</xdr:col>
          <xdr:colOff>594360</xdr:colOff>
          <xdr:row>34</xdr:row>
          <xdr:rowOff>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0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34</xdr:row>
          <xdr:rowOff>22860</xdr:rowOff>
        </xdr:from>
        <xdr:to>
          <xdr:col>5</xdr:col>
          <xdr:colOff>594360</xdr:colOff>
          <xdr:row>36</xdr:row>
          <xdr:rowOff>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0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36</xdr:row>
          <xdr:rowOff>22860</xdr:rowOff>
        </xdr:from>
        <xdr:to>
          <xdr:col>5</xdr:col>
          <xdr:colOff>594360</xdr:colOff>
          <xdr:row>38</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0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38</xdr:row>
          <xdr:rowOff>22860</xdr:rowOff>
        </xdr:from>
        <xdr:to>
          <xdr:col>5</xdr:col>
          <xdr:colOff>594360</xdr:colOff>
          <xdr:row>40</xdr:row>
          <xdr:rowOff>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0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40</xdr:row>
          <xdr:rowOff>22860</xdr:rowOff>
        </xdr:from>
        <xdr:to>
          <xdr:col>5</xdr:col>
          <xdr:colOff>594360</xdr:colOff>
          <xdr:row>42</xdr:row>
          <xdr:rowOff>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0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838200</xdr:colOff>
          <xdr:row>4</xdr:row>
          <xdr:rowOff>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9</xdr:col>
          <xdr:colOff>502920</xdr:colOff>
          <xdr:row>8</xdr:row>
          <xdr:rowOff>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8</xdr:row>
          <xdr:rowOff>0</xdr:rowOff>
        </xdr:from>
        <xdr:to>
          <xdr:col>17</xdr:col>
          <xdr:colOff>868680</xdr:colOff>
          <xdr:row>9</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0</xdr:row>
          <xdr:rowOff>144780</xdr:rowOff>
        </xdr:from>
        <xdr:to>
          <xdr:col>23</xdr:col>
          <xdr:colOff>312420</xdr:colOff>
          <xdr:row>2</xdr:row>
          <xdr:rowOff>60960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2</xdr:row>
          <xdr:rowOff>7620</xdr:rowOff>
        </xdr:from>
        <xdr:to>
          <xdr:col>23</xdr:col>
          <xdr:colOff>312420</xdr:colOff>
          <xdr:row>2</xdr:row>
          <xdr:rowOff>175260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838200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9</xdr:col>
          <xdr:colOff>502920</xdr:colOff>
          <xdr:row>8</xdr:row>
          <xdr:rowOff>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8</xdr:row>
          <xdr:rowOff>0</xdr:rowOff>
        </xdr:from>
        <xdr:to>
          <xdr:col>17</xdr:col>
          <xdr:colOff>868680</xdr:colOff>
          <xdr:row>9</xdr:row>
          <xdr:rowOff>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7</xdr:row>
          <xdr:rowOff>60960</xdr:rowOff>
        </xdr:from>
        <xdr:to>
          <xdr:col>24</xdr:col>
          <xdr:colOff>76200</xdr:colOff>
          <xdr:row>9</xdr:row>
          <xdr:rowOff>106680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10</xdr:row>
          <xdr:rowOff>114300</xdr:rowOff>
        </xdr:from>
        <xdr:to>
          <xdr:col>24</xdr:col>
          <xdr:colOff>76200</xdr:colOff>
          <xdr:row>13</xdr:row>
          <xdr:rowOff>22860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14</xdr:row>
          <xdr:rowOff>38100</xdr:rowOff>
        </xdr:from>
        <xdr:to>
          <xdr:col>24</xdr:col>
          <xdr:colOff>76200</xdr:colOff>
          <xdr:row>18</xdr:row>
          <xdr:rowOff>45720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17</xdr:row>
          <xdr:rowOff>30480</xdr:rowOff>
        </xdr:from>
        <xdr:to>
          <xdr:col>24</xdr:col>
          <xdr:colOff>76200</xdr:colOff>
          <xdr:row>21</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22</xdr:row>
          <xdr:rowOff>22860</xdr:rowOff>
        </xdr:from>
        <xdr:to>
          <xdr:col>24</xdr:col>
          <xdr:colOff>76200</xdr:colOff>
          <xdr:row>25</xdr:row>
          <xdr:rowOff>76200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26</xdr:row>
          <xdr:rowOff>0</xdr:rowOff>
        </xdr:from>
        <xdr:to>
          <xdr:col>24</xdr:col>
          <xdr:colOff>76200</xdr:colOff>
          <xdr:row>29</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30</xdr:row>
          <xdr:rowOff>137160</xdr:rowOff>
        </xdr:from>
        <xdr:to>
          <xdr:col>24</xdr:col>
          <xdr:colOff>76200</xdr:colOff>
          <xdr:row>34</xdr:row>
          <xdr:rowOff>144780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xdr:colOff>
          <xdr:row>19</xdr:row>
          <xdr:rowOff>83820</xdr:rowOff>
        </xdr:from>
        <xdr:to>
          <xdr:col>9</xdr:col>
          <xdr:colOff>22860</xdr:colOff>
          <xdr:row>20</xdr:row>
          <xdr:rowOff>106680</xdr:rowOff>
        </xdr:to>
        <xdr:sp macro="" textlink="">
          <xdr:nvSpPr>
            <xdr:cNvPr id="26631" name="Drop Down 7" hidden="1">
              <a:extLst>
                <a:ext uri="{63B3BB69-23CF-44E3-9099-C40C66FF867C}">
                  <a14:compatExt spid="_x0000_s26631"/>
                </a:ext>
                <a:ext uri="{FF2B5EF4-FFF2-40B4-BE49-F238E27FC236}">
                  <a16:creationId xmlns:a16="http://schemas.microsoft.com/office/drawing/2014/main" id="{00000000-0008-0000-0300-000007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xdr:row>
          <xdr:rowOff>76200</xdr:rowOff>
        </xdr:from>
        <xdr:to>
          <xdr:col>10</xdr:col>
          <xdr:colOff>327660</xdr:colOff>
          <xdr:row>20</xdr:row>
          <xdr:rowOff>114300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300-000009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22</xdr:row>
          <xdr:rowOff>83820</xdr:rowOff>
        </xdr:from>
        <xdr:to>
          <xdr:col>9</xdr:col>
          <xdr:colOff>22860</xdr:colOff>
          <xdr:row>23</xdr:row>
          <xdr:rowOff>106680</xdr:rowOff>
        </xdr:to>
        <xdr:sp macro="" textlink="">
          <xdr:nvSpPr>
            <xdr:cNvPr id="26635" name="Drop Down 11" hidden="1">
              <a:extLst>
                <a:ext uri="{63B3BB69-23CF-44E3-9099-C40C66FF867C}">
                  <a14:compatExt spid="_x0000_s26635"/>
                </a:ext>
                <a:ext uri="{FF2B5EF4-FFF2-40B4-BE49-F238E27FC236}">
                  <a16:creationId xmlns:a16="http://schemas.microsoft.com/office/drawing/2014/main" id="{00000000-0008-0000-0300-00000B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22</xdr:row>
          <xdr:rowOff>76200</xdr:rowOff>
        </xdr:from>
        <xdr:to>
          <xdr:col>10</xdr:col>
          <xdr:colOff>327660</xdr:colOff>
          <xdr:row>23</xdr:row>
          <xdr:rowOff>114300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300-00000C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83820</xdr:rowOff>
        </xdr:from>
        <xdr:to>
          <xdr:col>9</xdr:col>
          <xdr:colOff>22860</xdr:colOff>
          <xdr:row>26</xdr:row>
          <xdr:rowOff>106680</xdr:rowOff>
        </xdr:to>
        <xdr:sp macro="" textlink="">
          <xdr:nvSpPr>
            <xdr:cNvPr id="26637" name="Drop Down 13" hidden="1">
              <a:extLst>
                <a:ext uri="{63B3BB69-23CF-44E3-9099-C40C66FF867C}">
                  <a14:compatExt spid="_x0000_s26637"/>
                </a:ext>
                <a:ext uri="{FF2B5EF4-FFF2-40B4-BE49-F238E27FC236}">
                  <a16:creationId xmlns:a16="http://schemas.microsoft.com/office/drawing/2014/main" id="{00000000-0008-0000-0300-00000D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25</xdr:row>
          <xdr:rowOff>76200</xdr:rowOff>
        </xdr:from>
        <xdr:to>
          <xdr:col>10</xdr:col>
          <xdr:colOff>327660</xdr:colOff>
          <xdr:row>26</xdr:row>
          <xdr:rowOff>114300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300-00000E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28</xdr:row>
          <xdr:rowOff>83820</xdr:rowOff>
        </xdr:from>
        <xdr:to>
          <xdr:col>9</xdr:col>
          <xdr:colOff>22860</xdr:colOff>
          <xdr:row>29</xdr:row>
          <xdr:rowOff>106680</xdr:rowOff>
        </xdr:to>
        <xdr:sp macro="" textlink="">
          <xdr:nvSpPr>
            <xdr:cNvPr id="26639" name="Drop Down 15" hidden="1">
              <a:extLst>
                <a:ext uri="{63B3BB69-23CF-44E3-9099-C40C66FF867C}">
                  <a14:compatExt spid="_x0000_s26639"/>
                </a:ext>
                <a:ext uri="{FF2B5EF4-FFF2-40B4-BE49-F238E27FC236}">
                  <a16:creationId xmlns:a16="http://schemas.microsoft.com/office/drawing/2014/main" id="{00000000-0008-0000-0300-00000F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28</xdr:row>
          <xdr:rowOff>76200</xdr:rowOff>
        </xdr:from>
        <xdr:to>
          <xdr:col>10</xdr:col>
          <xdr:colOff>327660</xdr:colOff>
          <xdr:row>29</xdr:row>
          <xdr:rowOff>114300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300-000010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31</xdr:row>
          <xdr:rowOff>83820</xdr:rowOff>
        </xdr:from>
        <xdr:to>
          <xdr:col>9</xdr:col>
          <xdr:colOff>22860</xdr:colOff>
          <xdr:row>32</xdr:row>
          <xdr:rowOff>106680</xdr:rowOff>
        </xdr:to>
        <xdr:sp macro="" textlink="">
          <xdr:nvSpPr>
            <xdr:cNvPr id="26641" name="Drop Down 17" hidden="1">
              <a:extLst>
                <a:ext uri="{63B3BB69-23CF-44E3-9099-C40C66FF867C}">
                  <a14:compatExt spid="_x0000_s26641"/>
                </a:ext>
                <a:ext uri="{FF2B5EF4-FFF2-40B4-BE49-F238E27FC236}">
                  <a16:creationId xmlns:a16="http://schemas.microsoft.com/office/drawing/2014/main" id="{00000000-0008-0000-0300-00001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31</xdr:row>
          <xdr:rowOff>76200</xdr:rowOff>
        </xdr:from>
        <xdr:to>
          <xdr:col>10</xdr:col>
          <xdr:colOff>327660</xdr:colOff>
          <xdr:row>32</xdr:row>
          <xdr:rowOff>114300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300-000012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34</xdr:row>
          <xdr:rowOff>83820</xdr:rowOff>
        </xdr:from>
        <xdr:to>
          <xdr:col>9</xdr:col>
          <xdr:colOff>22860</xdr:colOff>
          <xdr:row>35</xdr:row>
          <xdr:rowOff>106680</xdr:rowOff>
        </xdr:to>
        <xdr:sp macro="" textlink="">
          <xdr:nvSpPr>
            <xdr:cNvPr id="26643" name="Drop Down 19" hidden="1">
              <a:extLst>
                <a:ext uri="{63B3BB69-23CF-44E3-9099-C40C66FF867C}">
                  <a14:compatExt spid="_x0000_s26643"/>
                </a:ext>
                <a:ext uri="{FF2B5EF4-FFF2-40B4-BE49-F238E27FC236}">
                  <a16:creationId xmlns:a16="http://schemas.microsoft.com/office/drawing/2014/main" id="{00000000-0008-0000-0300-000013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34</xdr:row>
          <xdr:rowOff>76200</xdr:rowOff>
        </xdr:from>
        <xdr:to>
          <xdr:col>10</xdr:col>
          <xdr:colOff>327660</xdr:colOff>
          <xdr:row>35</xdr:row>
          <xdr:rowOff>114300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300-000014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0</xdr:row>
          <xdr:rowOff>83820</xdr:rowOff>
        </xdr:from>
        <xdr:to>
          <xdr:col>20</xdr:col>
          <xdr:colOff>487680</xdr:colOff>
          <xdr:row>2</xdr:row>
          <xdr:rowOff>83820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3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76200</xdr:colOff>
      <xdr:row>9</xdr:row>
      <xdr:rowOff>95250</xdr:rowOff>
    </xdr:from>
    <xdr:to>
      <xdr:col>3</xdr:col>
      <xdr:colOff>590550</xdr:colOff>
      <xdr:row>23</xdr:row>
      <xdr:rowOff>142875</xdr:rowOff>
    </xdr:to>
    <xdr:grpSp>
      <xdr:nvGrpSpPr>
        <xdr:cNvPr id="10484" name="Gruppieren 7">
          <a:extLst>
            <a:ext uri="{FF2B5EF4-FFF2-40B4-BE49-F238E27FC236}">
              <a16:creationId xmlns:a16="http://schemas.microsoft.com/office/drawing/2014/main" id="{00000000-0008-0000-0D00-0000F4280000}"/>
            </a:ext>
          </a:extLst>
        </xdr:cNvPr>
        <xdr:cNvGrpSpPr>
          <a:grpSpLocks/>
        </xdr:cNvGrpSpPr>
      </xdr:nvGrpSpPr>
      <xdr:grpSpPr bwMode="auto">
        <a:xfrm>
          <a:off x="918411" y="1827797"/>
          <a:ext cx="3498181" cy="2518110"/>
          <a:chOff x="4340802" y="2075151"/>
          <a:chExt cx="3510395" cy="2591297"/>
        </a:xfrm>
      </xdr:grpSpPr>
      <xdr:pic>
        <xdr:nvPicPr>
          <xdr:cNvPr id="10485" name="Picture 5" descr="Vom Einheitswert zum Beitrag">
            <a:extLst>
              <a:ext uri="{FF2B5EF4-FFF2-40B4-BE49-F238E27FC236}">
                <a16:creationId xmlns:a16="http://schemas.microsoft.com/office/drawing/2014/main" id="{00000000-0008-0000-0D00-0000F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20799"/>
          <a:stretch>
            <a:fillRect/>
          </a:stretch>
        </xdr:blipFill>
        <xdr:spPr bwMode="auto">
          <a:xfrm>
            <a:off x="4340802" y="2075151"/>
            <a:ext cx="3510395" cy="2144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Textfeld 4">
            <a:extLst>
              <a:ext uri="{FF2B5EF4-FFF2-40B4-BE49-F238E27FC236}">
                <a16:creationId xmlns:a16="http://schemas.microsoft.com/office/drawing/2014/main" id="{00000000-0008-0000-0D00-00000A000000}"/>
              </a:ext>
            </a:extLst>
          </xdr:cNvPr>
          <xdr:cNvSpPr txBox="1"/>
        </xdr:nvSpPr>
        <xdr:spPr>
          <a:xfrm>
            <a:off x="5256557" y="4083167"/>
            <a:ext cx="1612111" cy="58328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AT" sz="1600">
                <a:solidFill>
                  <a:srgbClr val="006600"/>
                </a:solidFill>
                <a:latin typeface="Arial Black" panose="020B0A04020102020204" pitchFamily="34" charset="0"/>
              </a:rPr>
              <a:t>=</a:t>
            </a:r>
          </a:p>
          <a:p>
            <a:pPr algn="ctr"/>
            <a:r>
              <a:rPr lang="de-AT" sz="1600">
                <a:solidFill>
                  <a:srgbClr val="006600"/>
                </a:solidFill>
                <a:latin typeface="Arial Black" panose="020B0A04020102020204" pitchFamily="34" charset="0"/>
              </a:rPr>
              <a:t>Beitrag</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9</xdr:row>
          <xdr:rowOff>7620</xdr:rowOff>
        </xdr:from>
        <xdr:to>
          <xdr:col>4</xdr:col>
          <xdr:colOff>685800</xdr:colOff>
          <xdr:row>10</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1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xdr:row>
          <xdr:rowOff>0</xdr:rowOff>
        </xdr:from>
        <xdr:to>
          <xdr:col>3</xdr:col>
          <xdr:colOff>335280</xdr:colOff>
          <xdr:row>3</xdr:row>
          <xdr:rowOff>22860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1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7620</xdr:rowOff>
        </xdr:from>
        <xdr:to>
          <xdr:col>4</xdr:col>
          <xdr:colOff>914400</xdr:colOff>
          <xdr:row>21</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1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18</xdr:row>
          <xdr:rowOff>0</xdr:rowOff>
        </xdr:from>
        <xdr:to>
          <xdr:col>2</xdr:col>
          <xdr:colOff>906780</xdr:colOff>
          <xdr:row>19</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601980</xdr:colOff>
          <xdr:row>26</xdr:row>
          <xdr:rowOff>0</xdr:rowOff>
        </xdr:from>
        <xdr:to>
          <xdr:col>2</xdr:col>
          <xdr:colOff>906780</xdr:colOff>
          <xdr:row>27</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1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9</xdr:row>
          <xdr:rowOff>7620</xdr:rowOff>
        </xdr:from>
        <xdr:to>
          <xdr:col>11</xdr:col>
          <xdr:colOff>685800</xdr:colOff>
          <xdr:row>10</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1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0</xdr:rowOff>
        </xdr:from>
        <xdr:to>
          <xdr:col>10</xdr:col>
          <xdr:colOff>335280</xdr:colOff>
          <xdr:row>3</xdr:row>
          <xdr:rowOff>22860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1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7620</xdr:rowOff>
        </xdr:from>
        <xdr:to>
          <xdr:col>11</xdr:col>
          <xdr:colOff>914400</xdr:colOff>
          <xdr:row>21</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1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601980</xdr:colOff>
          <xdr:row>18</xdr:row>
          <xdr:rowOff>0</xdr:rowOff>
        </xdr:from>
        <xdr:to>
          <xdr:col>9</xdr:col>
          <xdr:colOff>906780</xdr:colOff>
          <xdr:row>19</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1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601980</xdr:colOff>
          <xdr:row>26</xdr:row>
          <xdr:rowOff>0</xdr:rowOff>
        </xdr:from>
        <xdr:to>
          <xdr:col>9</xdr:col>
          <xdr:colOff>906780</xdr:colOff>
          <xdr:row>27</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1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4.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5.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4"/>
  <dimension ref="A1:W59"/>
  <sheetViews>
    <sheetView tabSelected="1" zoomScale="85" zoomScaleNormal="85" workbookViewId="0">
      <selection activeCell="B7" sqref="B7"/>
    </sheetView>
  </sheetViews>
  <sheetFormatPr baseColWidth="10" defaultColWidth="11" defaultRowHeight="13.8" x14ac:dyDescent="0.25"/>
  <cols>
    <col min="1" max="1" width="5.59765625" style="8" customWidth="1"/>
    <col min="2" max="2" width="40.59765625" style="8" customWidth="1"/>
    <col min="3" max="3" width="1.59765625" style="8" customWidth="1"/>
    <col min="4" max="4" width="30.59765625" style="8" customWidth="1"/>
    <col min="5" max="5" width="1.59765625" style="8" customWidth="1"/>
    <col min="6" max="6" width="11" style="8"/>
    <col min="7" max="7" width="4.59765625" style="8" customWidth="1"/>
    <col min="8" max="8" width="62.59765625" style="8" customWidth="1"/>
    <col min="9" max="9" width="3.59765625" style="8" customWidth="1"/>
    <col min="10" max="10" width="62.59765625" style="8" customWidth="1"/>
    <col min="11" max="16384" width="11" style="8"/>
  </cols>
  <sheetData>
    <row r="1" spans="1:23" ht="21" x14ac:dyDescent="0.4">
      <c r="A1" s="244"/>
      <c r="B1" s="340" t="s">
        <v>241</v>
      </c>
      <c r="C1" s="340"/>
      <c r="D1" s="340"/>
      <c r="E1" s="340"/>
      <c r="F1" s="340"/>
      <c r="G1" s="340"/>
      <c r="H1" s="340"/>
      <c r="I1" s="244"/>
      <c r="J1" s="244"/>
      <c r="K1" s="244"/>
      <c r="L1" s="244"/>
      <c r="M1" s="244"/>
      <c r="N1" s="244"/>
      <c r="O1" s="244"/>
      <c r="P1" s="244"/>
      <c r="Q1" s="244"/>
      <c r="R1" s="244"/>
      <c r="S1" s="244"/>
      <c r="T1" s="244"/>
      <c r="U1" s="244"/>
      <c r="V1" s="244"/>
      <c r="W1" s="244"/>
    </row>
    <row r="2" spans="1:23" x14ac:dyDescent="0.25">
      <c r="A2" s="244"/>
      <c r="B2" s="244"/>
      <c r="C2" s="244"/>
      <c r="D2" s="244"/>
      <c r="E2" s="244"/>
      <c r="F2" s="244"/>
      <c r="G2" s="244"/>
      <c r="H2" s="244"/>
      <c r="I2" s="244"/>
      <c r="J2" s="245" t="str">
        <f>IF(G4=0,"Bedienungshinweis für diese Seite","")</f>
        <v>Bedienungshinweis für diese Seite</v>
      </c>
      <c r="K2" s="244"/>
      <c r="L2" s="244"/>
      <c r="M2" s="244"/>
      <c r="N2" s="244"/>
      <c r="O2" s="244"/>
      <c r="P2" s="244"/>
      <c r="Q2" s="244"/>
      <c r="R2" s="244"/>
      <c r="S2" s="244"/>
      <c r="T2" s="244"/>
      <c r="U2" s="244"/>
      <c r="V2" s="244"/>
      <c r="W2" s="244"/>
    </row>
    <row r="3" spans="1:23" ht="15.75" customHeight="1" x14ac:dyDescent="0.25">
      <c r="A3" s="244"/>
      <c r="B3" s="244"/>
      <c r="C3" s="244"/>
      <c r="D3" s="244"/>
      <c r="E3" s="244"/>
      <c r="F3" s="244"/>
      <c r="G3" s="244"/>
      <c r="H3" s="244"/>
      <c r="I3" s="244"/>
      <c r="J3" s="341" t="str">
        <f>IF(G4=0,'Info Texte'!S3,"")</f>
        <v>Zum Aufrufen von Informationen zu den in den dunkelroten bzw. dunkelblauen Balken genannten Themen ist auf das jeweilige Kästchen in Spalte "Info" zu klicken. Zu beachten ist, dass nur ein Kästchen aktiviert wird, um den gewünschten Inhalt aufzurufen, eine allfällige Fehlbedienung wird unter "Information zum Programm" eingeblendet.</v>
      </c>
      <c r="K3" s="244"/>
      <c r="L3" s="244"/>
      <c r="M3" s="244"/>
      <c r="N3" s="244"/>
      <c r="O3" s="244"/>
      <c r="P3" s="244"/>
      <c r="Q3" s="244"/>
      <c r="R3" s="244"/>
      <c r="S3" s="244"/>
      <c r="T3" s="244"/>
      <c r="U3" s="244"/>
      <c r="V3" s="244"/>
      <c r="W3" s="244"/>
    </row>
    <row r="4" spans="1:23" s="249" customFormat="1" ht="24" customHeight="1" x14ac:dyDescent="0.25">
      <c r="A4" s="246"/>
      <c r="B4" s="342" t="s">
        <v>242</v>
      </c>
      <c r="C4" s="342"/>
      <c r="D4" s="342"/>
      <c r="E4" s="306"/>
      <c r="F4" s="247" t="s">
        <v>243</v>
      </c>
      <c r="G4" s="248">
        <f>'Info Texte'!A5</f>
        <v>0</v>
      </c>
      <c r="H4" s="247" t="str">
        <f>IF('Info Texte'!A5=0,"Info-Text durch Klicken auf ein Kästchen aufrufen!",IF(G4&lt;4,"Information zum Programm","Information zu Bearbeitungsfenster"))</f>
        <v>Info-Text durch Klicken auf ein Kästchen aufrufen!</v>
      </c>
      <c r="I4" s="246"/>
      <c r="J4" s="341"/>
      <c r="K4" s="246"/>
      <c r="L4" s="246"/>
      <c r="M4" s="246"/>
      <c r="N4" s="246"/>
      <c r="O4" s="246"/>
      <c r="P4" s="246"/>
      <c r="Q4" s="246"/>
      <c r="R4" s="246"/>
      <c r="S4" s="246"/>
      <c r="T4" s="246"/>
      <c r="U4" s="246"/>
      <c r="V4" s="246"/>
      <c r="W4" s="246"/>
    </row>
    <row r="5" spans="1:23" s="249" customFormat="1" ht="3.9" customHeight="1" x14ac:dyDescent="0.25">
      <c r="A5" s="246"/>
      <c r="B5" s="246"/>
      <c r="C5" s="246"/>
      <c r="D5" s="217"/>
      <c r="E5" s="217"/>
      <c r="F5" s="246"/>
      <c r="G5" s="246"/>
      <c r="H5" s="246"/>
      <c r="I5" s="246"/>
      <c r="J5" s="341"/>
      <c r="K5" s="246"/>
      <c r="L5" s="246"/>
      <c r="M5" s="246"/>
      <c r="N5" s="246"/>
      <c r="O5" s="246"/>
      <c r="P5" s="246"/>
      <c r="Q5" s="246"/>
      <c r="R5" s="246"/>
      <c r="S5" s="246"/>
      <c r="T5" s="246"/>
      <c r="U5" s="246"/>
      <c r="V5" s="246"/>
      <c r="W5" s="246"/>
    </row>
    <row r="6" spans="1:23" s="249" customFormat="1" ht="18" customHeight="1" x14ac:dyDescent="0.25">
      <c r="A6" s="246"/>
      <c r="B6" s="250" t="s">
        <v>244</v>
      </c>
      <c r="C6" s="305"/>
      <c r="D6" s="343" t="str">
        <f>IF('Info Texte'!A3&gt;1,"Achtung: nur ein Kästchen anklicken!","")</f>
        <v/>
      </c>
      <c r="E6" s="307"/>
      <c r="F6" s="251"/>
      <c r="G6" s="246"/>
      <c r="H6" s="247" t="str">
        <f>IF('Info Texte'!A5=0,"Keine Info aufgerufen",HLOOKUP('Info Texte'!A5,'Info Texte'!B1:Q50,2))</f>
        <v>Keine Info aufgerufen</v>
      </c>
      <c r="I6" s="246"/>
      <c r="J6" s="341"/>
      <c r="K6" s="246"/>
      <c r="L6" s="246"/>
      <c r="M6" s="246"/>
      <c r="N6" s="246"/>
      <c r="O6" s="246"/>
      <c r="P6" s="246"/>
      <c r="Q6" s="246"/>
      <c r="R6" s="246"/>
      <c r="S6" s="246"/>
      <c r="T6" s="246"/>
      <c r="U6" s="246"/>
      <c r="V6" s="246"/>
      <c r="W6" s="246"/>
    </row>
    <row r="7" spans="1:23" s="249" customFormat="1" ht="3.9" customHeight="1" x14ac:dyDescent="0.25">
      <c r="A7" s="246"/>
      <c r="B7" s="246"/>
      <c r="C7" s="246"/>
      <c r="D7" s="343"/>
      <c r="E7" s="307"/>
      <c r="F7" s="246"/>
      <c r="G7" s="246"/>
      <c r="H7" s="246"/>
      <c r="I7" s="246"/>
      <c r="J7" s="341"/>
      <c r="K7" s="246"/>
      <c r="L7" s="246"/>
      <c r="M7" s="246"/>
      <c r="N7" s="246"/>
      <c r="O7" s="246"/>
      <c r="P7" s="246"/>
      <c r="Q7" s="246"/>
      <c r="R7" s="246"/>
      <c r="S7" s="246"/>
      <c r="T7" s="246"/>
      <c r="U7" s="246"/>
      <c r="V7" s="246"/>
      <c r="W7" s="246"/>
    </row>
    <row r="8" spans="1:23" s="249" customFormat="1" ht="18" customHeight="1" x14ac:dyDescent="0.25">
      <c r="A8" s="246"/>
      <c r="B8" s="250" t="s">
        <v>245</v>
      </c>
      <c r="C8" s="305"/>
      <c r="D8" s="343"/>
      <c r="E8" s="307"/>
      <c r="F8" s="251"/>
      <c r="G8" s="246"/>
      <c r="H8" s="344" t="str">
        <f>IF('Info Texte'!A5=0,"",HLOOKUP('Info Texte'!A5,'Info Texte'!B1:Q50,6))</f>
        <v/>
      </c>
      <c r="I8" s="246"/>
      <c r="J8" s="345" t="str">
        <f>IF('Info Texte'!A5=0,"",IF(HLOOKUP('Info Texte'!A5,'Info Texte'!B1:Q50,36)="","",HLOOKUP('Info Texte'!A5,'Info Texte'!B1:Q50,36)))</f>
        <v/>
      </c>
      <c r="K8" s="246"/>
      <c r="L8" s="246"/>
      <c r="M8" s="246"/>
      <c r="N8" s="246"/>
      <c r="O8" s="246"/>
      <c r="P8" s="246"/>
      <c r="Q8" s="246"/>
      <c r="R8" s="246"/>
      <c r="S8" s="246"/>
      <c r="T8" s="246"/>
      <c r="U8" s="246"/>
      <c r="V8" s="246"/>
      <c r="W8" s="246"/>
    </row>
    <row r="9" spans="1:23" s="249" customFormat="1" ht="3.9" customHeight="1" x14ac:dyDescent="0.25">
      <c r="A9" s="246"/>
      <c r="B9" s="246"/>
      <c r="C9" s="246"/>
      <c r="D9" s="343"/>
      <c r="E9" s="307"/>
      <c r="F9" s="246"/>
      <c r="G9" s="246"/>
      <c r="H9" s="344"/>
      <c r="I9" s="246"/>
      <c r="J9" s="345"/>
      <c r="K9" s="246"/>
      <c r="L9" s="246"/>
      <c r="M9" s="246"/>
      <c r="N9" s="246"/>
      <c r="O9" s="246"/>
      <c r="P9" s="246"/>
      <c r="Q9" s="246"/>
      <c r="R9" s="246"/>
      <c r="S9" s="246"/>
      <c r="T9" s="246"/>
      <c r="U9" s="246"/>
      <c r="V9" s="246"/>
      <c r="W9" s="246"/>
    </row>
    <row r="10" spans="1:23" s="249" customFormat="1" ht="18" customHeight="1" x14ac:dyDescent="0.25">
      <c r="A10" s="246"/>
      <c r="B10" s="250" t="s">
        <v>246</v>
      </c>
      <c r="C10" s="305"/>
      <c r="D10" s="343"/>
      <c r="E10" s="307"/>
      <c r="F10" s="251"/>
      <c r="G10" s="246"/>
      <c r="H10" s="344"/>
      <c r="I10" s="246"/>
      <c r="J10" s="345"/>
      <c r="K10" s="246"/>
      <c r="L10" s="246"/>
      <c r="M10" s="246"/>
      <c r="N10" s="246"/>
      <c r="O10" s="246"/>
      <c r="P10" s="246"/>
      <c r="Q10" s="246"/>
      <c r="R10" s="246"/>
      <c r="S10" s="246"/>
      <c r="T10" s="246"/>
      <c r="U10" s="246"/>
      <c r="V10" s="246"/>
      <c r="W10" s="246"/>
    </row>
    <row r="11" spans="1:23" s="249" customFormat="1" ht="3.9" customHeight="1" x14ac:dyDescent="0.25">
      <c r="A11" s="246"/>
      <c r="B11" s="246"/>
      <c r="C11" s="246"/>
      <c r="D11" s="217"/>
      <c r="E11" s="217"/>
      <c r="F11" s="246"/>
      <c r="G11" s="246"/>
      <c r="H11" s="344"/>
      <c r="I11" s="246"/>
      <c r="J11" s="345"/>
      <c r="K11" s="246"/>
      <c r="L11" s="246"/>
      <c r="M11" s="246"/>
      <c r="N11" s="246"/>
      <c r="O11" s="246"/>
      <c r="P11" s="246"/>
      <c r="Q11" s="246"/>
      <c r="R11" s="246"/>
      <c r="S11" s="246"/>
      <c r="T11" s="246"/>
      <c r="U11" s="246"/>
      <c r="V11" s="246"/>
      <c r="W11" s="246"/>
    </row>
    <row r="12" spans="1:23" s="249" customFormat="1" ht="18" customHeight="1" x14ac:dyDescent="0.25">
      <c r="A12" s="246"/>
      <c r="B12" s="342" t="s">
        <v>247</v>
      </c>
      <c r="C12" s="342"/>
      <c r="D12" s="342"/>
      <c r="E12" s="306"/>
      <c r="F12" s="247"/>
      <c r="G12" s="246"/>
      <c r="H12" s="344"/>
      <c r="I12" s="246"/>
      <c r="J12" s="345"/>
      <c r="K12" s="246"/>
      <c r="L12" s="246"/>
      <c r="M12" s="246"/>
      <c r="N12" s="246"/>
      <c r="O12" s="246"/>
      <c r="P12" s="246"/>
      <c r="Q12" s="246"/>
      <c r="R12" s="246"/>
      <c r="S12" s="246"/>
      <c r="T12" s="246"/>
      <c r="U12" s="246"/>
      <c r="V12" s="246"/>
      <c r="W12" s="246"/>
    </row>
    <row r="13" spans="1:23" s="249" customFormat="1" ht="3.9" customHeight="1" x14ac:dyDescent="0.25">
      <c r="A13" s="246"/>
      <c r="B13" s="246"/>
      <c r="C13" s="246"/>
      <c r="D13" s="246"/>
      <c r="E13" s="246"/>
      <c r="F13" s="246"/>
      <c r="G13" s="246"/>
      <c r="H13" s="344"/>
      <c r="I13" s="246"/>
      <c r="J13" s="345"/>
      <c r="K13" s="246"/>
      <c r="L13" s="246"/>
      <c r="M13" s="246"/>
      <c r="N13" s="246"/>
      <c r="O13" s="246"/>
      <c r="P13" s="246"/>
      <c r="Q13" s="246"/>
      <c r="R13" s="246"/>
      <c r="S13" s="246"/>
      <c r="T13" s="246"/>
      <c r="U13" s="246"/>
      <c r="V13" s="246"/>
      <c r="W13" s="246"/>
    </row>
    <row r="14" spans="1:23" s="249" customFormat="1" ht="18" customHeight="1" x14ac:dyDescent="0.25">
      <c r="A14" s="246"/>
      <c r="B14" s="247" t="s">
        <v>248</v>
      </c>
      <c r="C14" s="247"/>
      <c r="D14" s="247" t="s">
        <v>249</v>
      </c>
      <c r="E14" s="247"/>
      <c r="F14" s="247" t="s">
        <v>243</v>
      </c>
      <c r="G14" s="246"/>
      <c r="H14" s="344"/>
      <c r="I14" s="246"/>
      <c r="J14" s="345"/>
      <c r="K14" s="246"/>
      <c r="L14" s="246"/>
      <c r="M14" s="246"/>
      <c r="N14" s="246"/>
      <c r="O14" s="246"/>
      <c r="P14" s="246"/>
      <c r="Q14" s="246"/>
      <c r="R14" s="246"/>
      <c r="S14" s="246"/>
      <c r="T14" s="246"/>
      <c r="U14" s="246"/>
      <c r="V14" s="246"/>
      <c r="W14" s="246"/>
    </row>
    <row r="15" spans="1:23" s="249" customFormat="1" ht="3.9" customHeight="1" x14ac:dyDescent="0.25">
      <c r="A15" s="246"/>
      <c r="B15" s="246"/>
      <c r="C15" s="246"/>
      <c r="D15" s="246"/>
      <c r="E15" s="246"/>
      <c r="F15" s="246"/>
      <c r="G15" s="246"/>
      <c r="H15" s="344"/>
      <c r="I15" s="246"/>
      <c r="J15" s="345"/>
      <c r="K15" s="246"/>
      <c r="L15" s="246"/>
      <c r="M15" s="246"/>
      <c r="N15" s="246"/>
      <c r="O15" s="246"/>
      <c r="P15" s="246"/>
      <c r="Q15" s="246"/>
      <c r="R15" s="246"/>
      <c r="S15" s="246"/>
      <c r="T15" s="246"/>
      <c r="U15" s="246"/>
      <c r="V15" s="246"/>
      <c r="W15" s="246"/>
    </row>
    <row r="16" spans="1:23" s="249" customFormat="1" ht="18" customHeight="1" x14ac:dyDescent="0.25">
      <c r="A16" s="246"/>
      <c r="B16" s="252" t="s">
        <v>331</v>
      </c>
      <c r="C16" s="305"/>
      <c r="D16" s="301" t="s">
        <v>254</v>
      </c>
      <c r="E16" s="253"/>
      <c r="F16" s="251"/>
      <c r="G16" s="198"/>
      <c r="H16" s="344"/>
      <c r="I16" s="246"/>
      <c r="J16" s="345"/>
      <c r="K16" s="246"/>
      <c r="L16" s="246"/>
      <c r="M16" s="246"/>
      <c r="N16" s="246"/>
      <c r="O16" s="246"/>
      <c r="P16" s="246"/>
      <c r="Q16" s="246"/>
      <c r="R16" s="246"/>
      <c r="S16" s="246"/>
      <c r="T16" s="246"/>
      <c r="U16" s="246"/>
      <c r="V16" s="246"/>
      <c r="W16" s="246"/>
    </row>
    <row r="17" spans="1:23" s="249" customFormat="1" ht="3.9" customHeight="1" x14ac:dyDescent="0.25">
      <c r="A17" s="246"/>
      <c r="B17" s="246"/>
      <c r="C17" s="246"/>
      <c r="D17" s="308"/>
      <c r="E17" s="217"/>
      <c r="F17" s="246"/>
      <c r="G17" s="246"/>
      <c r="H17" s="344"/>
      <c r="I17" s="246"/>
      <c r="J17" s="345"/>
      <c r="K17" s="246"/>
      <c r="L17" s="246"/>
      <c r="M17" s="246"/>
      <c r="N17" s="246"/>
      <c r="O17" s="246"/>
      <c r="P17" s="246"/>
      <c r="Q17" s="246"/>
      <c r="R17" s="246"/>
      <c r="S17" s="246"/>
      <c r="T17" s="246"/>
      <c r="U17" s="246"/>
      <c r="V17" s="246"/>
      <c r="W17" s="246"/>
    </row>
    <row r="18" spans="1:23" s="249" customFormat="1" ht="18" customHeight="1" x14ac:dyDescent="0.25">
      <c r="A18" s="246"/>
      <c r="B18" s="252" t="s">
        <v>332</v>
      </c>
      <c r="C18" s="305"/>
      <c r="D18" s="309" t="s">
        <v>251</v>
      </c>
      <c r="E18" s="254"/>
      <c r="F18" s="251"/>
      <c r="G18" s="246"/>
      <c r="H18" s="344"/>
      <c r="I18" s="246"/>
      <c r="J18" s="345"/>
      <c r="K18" s="246"/>
      <c r="L18" s="246"/>
      <c r="M18" s="246"/>
      <c r="N18" s="246"/>
      <c r="O18" s="246"/>
      <c r="P18" s="246"/>
      <c r="Q18" s="246"/>
      <c r="R18" s="246"/>
      <c r="S18" s="246"/>
      <c r="T18" s="246"/>
      <c r="U18" s="246"/>
      <c r="V18" s="246"/>
      <c r="W18" s="246"/>
    </row>
    <row r="19" spans="1:23" s="249" customFormat="1" ht="3.9" customHeight="1" x14ac:dyDescent="0.25">
      <c r="A19" s="246"/>
      <c r="B19" s="246"/>
      <c r="C19" s="246"/>
      <c r="D19" s="308"/>
      <c r="E19" s="217"/>
      <c r="F19" s="246"/>
      <c r="G19" s="246"/>
      <c r="H19" s="344"/>
      <c r="I19" s="246"/>
      <c r="J19" s="345"/>
      <c r="K19" s="246"/>
      <c r="L19" s="246"/>
      <c r="M19" s="246"/>
      <c r="N19" s="246"/>
      <c r="O19" s="246"/>
      <c r="P19" s="246"/>
      <c r="Q19" s="246"/>
      <c r="R19" s="246"/>
      <c r="S19" s="246"/>
      <c r="T19" s="246"/>
      <c r="U19" s="246"/>
      <c r="V19" s="246"/>
      <c r="W19" s="246"/>
    </row>
    <row r="20" spans="1:23" s="249" customFormat="1" ht="18" customHeight="1" x14ac:dyDescent="0.25">
      <c r="A20" s="246"/>
      <c r="B20" s="252" t="s">
        <v>333</v>
      </c>
      <c r="C20" s="305"/>
      <c r="D20" s="347" t="s">
        <v>287</v>
      </c>
      <c r="E20" s="254"/>
      <c r="F20" s="251"/>
      <c r="G20" s="246"/>
      <c r="H20" s="344"/>
      <c r="I20" s="246"/>
      <c r="J20" s="345"/>
      <c r="K20" s="246"/>
      <c r="L20" s="246"/>
      <c r="M20" s="246"/>
      <c r="N20" s="246"/>
      <c r="O20" s="246"/>
      <c r="P20" s="246"/>
      <c r="Q20" s="246"/>
      <c r="R20" s="246"/>
      <c r="S20" s="246"/>
      <c r="T20" s="246"/>
      <c r="U20" s="246"/>
      <c r="V20" s="246"/>
      <c r="W20" s="246"/>
    </row>
    <row r="21" spans="1:23" s="249" customFormat="1" ht="3.9" customHeight="1" x14ac:dyDescent="0.25">
      <c r="A21" s="246"/>
      <c r="B21" s="246"/>
      <c r="C21" s="246"/>
      <c r="D21" s="348"/>
      <c r="E21" s="217"/>
      <c r="F21" s="246"/>
      <c r="G21" s="246"/>
      <c r="H21" s="344"/>
      <c r="I21" s="246"/>
      <c r="J21" s="345"/>
      <c r="K21" s="246"/>
      <c r="L21" s="246"/>
      <c r="M21" s="246"/>
      <c r="N21" s="246"/>
      <c r="O21" s="246"/>
      <c r="P21" s="246"/>
      <c r="Q21" s="246"/>
      <c r="R21" s="246"/>
      <c r="S21" s="246"/>
      <c r="T21" s="246"/>
      <c r="U21" s="246"/>
      <c r="V21" s="246"/>
      <c r="W21" s="246"/>
    </row>
    <row r="22" spans="1:23" s="249" customFormat="1" ht="18" customHeight="1" x14ac:dyDescent="0.25">
      <c r="A22" s="246"/>
      <c r="B22" s="246"/>
      <c r="C22" s="305"/>
      <c r="D22" s="348"/>
      <c r="E22" s="255"/>
      <c r="F22" s="255"/>
      <c r="G22" s="246"/>
      <c r="H22" s="344"/>
      <c r="I22" s="246"/>
      <c r="J22" s="345"/>
      <c r="K22" s="246"/>
      <c r="L22" s="246"/>
      <c r="M22" s="246"/>
      <c r="N22" s="246"/>
      <c r="O22" s="246"/>
      <c r="P22" s="246"/>
      <c r="Q22" s="246"/>
      <c r="R22" s="246"/>
      <c r="S22" s="246"/>
      <c r="T22" s="246"/>
      <c r="U22" s="246"/>
      <c r="V22" s="246"/>
      <c r="W22" s="246"/>
    </row>
    <row r="23" spans="1:23" s="249" customFormat="1" ht="3.9" customHeight="1" x14ac:dyDescent="0.25">
      <c r="A23" s="246"/>
      <c r="B23" s="246"/>
      <c r="C23" s="246"/>
      <c r="D23" s="246"/>
      <c r="E23" s="217"/>
      <c r="F23" s="246"/>
      <c r="G23" s="246"/>
      <c r="H23" s="344"/>
      <c r="I23" s="246"/>
      <c r="J23" s="345"/>
      <c r="K23" s="246"/>
      <c r="L23" s="246"/>
      <c r="M23" s="246"/>
      <c r="N23" s="246"/>
      <c r="O23" s="246"/>
      <c r="P23" s="246"/>
      <c r="Q23" s="246"/>
      <c r="R23" s="246"/>
      <c r="S23" s="246"/>
      <c r="T23" s="246"/>
      <c r="U23" s="246"/>
      <c r="V23" s="246"/>
      <c r="W23" s="246"/>
    </row>
    <row r="24" spans="1:23" s="249" customFormat="1" ht="18" customHeight="1" x14ac:dyDescent="0.25">
      <c r="A24" s="246"/>
      <c r="B24" s="342" t="s">
        <v>132</v>
      </c>
      <c r="C24" s="342"/>
      <c r="D24" s="342"/>
      <c r="E24" s="306"/>
      <c r="F24" s="247"/>
      <c r="G24" s="246"/>
      <c r="H24" s="344"/>
      <c r="I24" s="246"/>
      <c r="J24" s="345"/>
      <c r="K24" s="246"/>
      <c r="L24" s="246"/>
      <c r="M24" s="246"/>
      <c r="N24" s="246"/>
      <c r="O24" s="246"/>
      <c r="P24" s="246"/>
      <c r="Q24" s="246"/>
      <c r="R24" s="246"/>
      <c r="S24" s="246"/>
      <c r="T24" s="246"/>
      <c r="U24" s="246"/>
      <c r="V24" s="246"/>
      <c r="W24" s="246"/>
    </row>
    <row r="25" spans="1:23" s="249" customFormat="1" ht="3.9" customHeight="1" x14ac:dyDescent="0.25">
      <c r="A25" s="246"/>
      <c r="B25" s="246"/>
      <c r="C25" s="246"/>
      <c r="D25" s="246"/>
      <c r="E25" s="217"/>
      <c r="F25" s="246"/>
      <c r="G25" s="246"/>
      <c r="H25" s="344"/>
      <c r="I25" s="246"/>
      <c r="J25" s="345"/>
      <c r="K25" s="246"/>
      <c r="L25" s="246"/>
      <c r="M25" s="246"/>
      <c r="N25" s="246"/>
      <c r="O25" s="246"/>
      <c r="P25" s="246"/>
      <c r="Q25" s="246"/>
      <c r="R25" s="246"/>
      <c r="S25" s="246"/>
      <c r="T25" s="246"/>
      <c r="U25" s="246"/>
      <c r="V25" s="246"/>
      <c r="W25" s="246"/>
    </row>
    <row r="26" spans="1:23" s="249" customFormat="1" ht="18" customHeight="1" x14ac:dyDescent="0.25">
      <c r="A26" s="246"/>
      <c r="B26" s="247" t="s">
        <v>248</v>
      </c>
      <c r="C26" s="247"/>
      <c r="D26" s="247" t="s">
        <v>249</v>
      </c>
      <c r="E26" s="247"/>
      <c r="F26" s="247" t="s">
        <v>243</v>
      </c>
      <c r="G26" s="246"/>
      <c r="H26" s="344"/>
      <c r="I26" s="246"/>
      <c r="J26" s="345"/>
      <c r="K26" s="246"/>
      <c r="L26" s="246"/>
      <c r="M26" s="246"/>
      <c r="N26" s="246"/>
      <c r="O26" s="246"/>
      <c r="P26" s="246"/>
      <c r="Q26" s="246"/>
      <c r="R26" s="246"/>
      <c r="S26" s="246"/>
      <c r="T26" s="246"/>
      <c r="U26" s="246"/>
      <c r="V26" s="246"/>
      <c r="W26" s="246"/>
    </row>
    <row r="27" spans="1:23" s="249" customFormat="1" ht="3.9" customHeight="1" x14ac:dyDescent="0.25">
      <c r="A27" s="246"/>
      <c r="B27" s="246"/>
      <c r="C27" s="246"/>
      <c r="D27" s="246"/>
      <c r="E27" s="217"/>
      <c r="F27" s="246"/>
      <c r="G27" s="246"/>
      <c r="H27" s="344"/>
      <c r="I27" s="246"/>
      <c r="J27" s="345"/>
      <c r="K27" s="246"/>
      <c r="L27" s="246"/>
      <c r="M27" s="246"/>
      <c r="N27" s="246"/>
      <c r="O27" s="246"/>
      <c r="P27" s="246"/>
      <c r="Q27" s="246"/>
      <c r="R27" s="246"/>
      <c r="S27" s="246"/>
      <c r="T27" s="246"/>
      <c r="U27" s="246"/>
      <c r="V27" s="246"/>
      <c r="W27" s="246"/>
    </row>
    <row r="28" spans="1:23" s="249" customFormat="1" ht="18" customHeight="1" x14ac:dyDescent="0.25">
      <c r="A28" s="246"/>
      <c r="B28" s="252" t="s">
        <v>133</v>
      </c>
      <c r="C28" s="305"/>
      <c r="D28" s="301" t="s">
        <v>256</v>
      </c>
      <c r="E28" s="255"/>
      <c r="F28" s="251"/>
      <c r="G28" s="246"/>
      <c r="H28" s="344"/>
      <c r="I28" s="246"/>
      <c r="J28" s="345"/>
      <c r="K28" s="246"/>
      <c r="L28" s="246"/>
      <c r="M28" s="246"/>
      <c r="N28" s="246"/>
      <c r="O28" s="246"/>
      <c r="P28" s="246"/>
      <c r="Q28" s="246"/>
      <c r="R28" s="246"/>
      <c r="S28" s="246"/>
      <c r="T28" s="246"/>
      <c r="U28" s="246"/>
      <c r="V28" s="246"/>
      <c r="W28" s="246"/>
    </row>
    <row r="29" spans="1:23" s="249" customFormat="1" ht="3.9" customHeight="1" x14ac:dyDescent="0.25">
      <c r="A29" s="246"/>
      <c r="B29" s="246"/>
      <c r="C29" s="246"/>
      <c r="D29" s="308"/>
      <c r="E29" s="217"/>
      <c r="F29" s="246"/>
      <c r="G29" s="246"/>
      <c r="H29" s="344"/>
      <c r="I29" s="246"/>
      <c r="J29" s="345"/>
      <c r="K29" s="246"/>
      <c r="L29" s="246"/>
      <c r="M29" s="246"/>
      <c r="N29" s="246"/>
      <c r="O29" s="246"/>
      <c r="P29" s="246"/>
      <c r="Q29" s="246"/>
      <c r="R29" s="246"/>
      <c r="S29" s="246"/>
      <c r="T29" s="246"/>
      <c r="U29" s="246"/>
      <c r="V29" s="246"/>
      <c r="W29" s="246"/>
    </row>
    <row r="30" spans="1:23" s="249" customFormat="1" ht="18" customHeight="1" x14ac:dyDescent="0.25">
      <c r="A30" s="246"/>
      <c r="B30" s="252" t="s">
        <v>334</v>
      </c>
      <c r="C30" s="305"/>
      <c r="D30" s="301" t="s">
        <v>257</v>
      </c>
      <c r="E30" s="255"/>
      <c r="F30" s="251"/>
      <c r="G30" s="246"/>
      <c r="H30" s="344"/>
      <c r="I30" s="246"/>
      <c r="J30" s="345"/>
      <c r="K30" s="246"/>
      <c r="L30" s="246"/>
      <c r="M30" s="246"/>
      <c r="N30" s="246"/>
      <c r="O30" s="246"/>
      <c r="P30" s="246"/>
      <c r="Q30" s="246"/>
      <c r="R30" s="246"/>
      <c r="S30" s="246"/>
      <c r="T30" s="246"/>
      <c r="U30" s="246"/>
      <c r="V30" s="246"/>
      <c r="W30" s="246"/>
    </row>
    <row r="31" spans="1:23" s="249" customFormat="1" ht="3.9" customHeight="1" x14ac:dyDescent="0.25">
      <c r="A31" s="246"/>
      <c r="B31" s="246"/>
      <c r="C31" s="246"/>
      <c r="D31" s="301"/>
      <c r="E31" s="217"/>
      <c r="F31" s="246"/>
      <c r="G31" s="246"/>
      <c r="H31" s="344"/>
      <c r="I31" s="246"/>
      <c r="J31" s="345"/>
      <c r="K31" s="246"/>
      <c r="L31" s="246"/>
      <c r="M31" s="246"/>
      <c r="N31" s="246"/>
      <c r="O31" s="246"/>
      <c r="P31" s="246"/>
      <c r="Q31" s="246"/>
      <c r="R31" s="246"/>
      <c r="S31" s="246"/>
      <c r="T31" s="246"/>
      <c r="U31" s="246"/>
      <c r="V31" s="246"/>
      <c r="W31" s="246"/>
    </row>
    <row r="32" spans="1:23" s="249" customFormat="1" ht="18" customHeight="1" x14ac:dyDescent="0.25">
      <c r="A32" s="246"/>
      <c r="B32" s="252" t="s">
        <v>13</v>
      </c>
      <c r="C32" s="305"/>
      <c r="D32" s="301" t="s">
        <v>293</v>
      </c>
      <c r="E32" s="255"/>
      <c r="F32" s="251"/>
      <c r="G32" s="246"/>
      <c r="H32" s="344"/>
      <c r="I32" s="246"/>
      <c r="J32" s="345"/>
      <c r="K32" s="246"/>
      <c r="L32" s="246"/>
      <c r="M32" s="246"/>
      <c r="N32" s="246"/>
      <c r="O32" s="246"/>
      <c r="P32" s="246"/>
      <c r="Q32" s="246"/>
      <c r="R32" s="246"/>
      <c r="S32" s="246"/>
      <c r="T32" s="246"/>
      <c r="U32" s="246"/>
      <c r="V32" s="246"/>
      <c r="W32" s="246"/>
    </row>
    <row r="33" spans="1:23" s="249" customFormat="1" ht="3.9" customHeight="1" x14ac:dyDescent="0.25">
      <c r="A33" s="246"/>
      <c r="B33" s="246"/>
      <c r="C33" s="246"/>
      <c r="D33" s="308"/>
      <c r="E33" s="217"/>
      <c r="F33" s="246"/>
      <c r="G33" s="246"/>
      <c r="H33" s="344"/>
      <c r="I33" s="246"/>
      <c r="J33" s="338"/>
      <c r="K33" s="246"/>
      <c r="L33" s="246"/>
      <c r="M33" s="246"/>
      <c r="N33" s="246"/>
      <c r="O33" s="246"/>
      <c r="P33" s="246"/>
      <c r="Q33" s="246"/>
      <c r="R33" s="246"/>
      <c r="S33" s="246"/>
      <c r="T33" s="246"/>
      <c r="U33" s="246"/>
      <c r="V33" s="246"/>
      <c r="W33" s="246"/>
    </row>
    <row r="34" spans="1:23" s="249" customFormat="1" ht="18" customHeight="1" x14ac:dyDescent="0.25">
      <c r="A34" s="246"/>
      <c r="B34" s="252" t="s">
        <v>335</v>
      </c>
      <c r="C34" s="305"/>
      <c r="D34" s="310" t="s">
        <v>339</v>
      </c>
      <c r="E34" s="256"/>
      <c r="F34" s="251"/>
      <c r="G34" s="246"/>
      <c r="H34" s="344"/>
      <c r="I34" s="246"/>
      <c r="J34" s="338"/>
      <c r="K34" s="246"/>
      <c r="L34" s="246"/>
      <c r="M34" s="246"/>
      <c r="N34" s="246"/>
      <c r="O34" s="246"/>
      <c r="P34" s="246"/>
      <c r="Q34" s="246"/>
      <c r="R34" s="246"/>
      <c r="S34" s="246"/>
      <c r="T34" s="246"/>
      <c r="U34" s="246"/>
      <c r="V34" s="246"/>
      <c r="W34" s="246"/>
    </row>
    <row r="35" spans="1:23" s="249" customFormat="1" ht="3.9" customHeight="1" x14ac:dyDescent="0.25">
      <c r="A35" s="246"/>
      <c r="B35" s="246"/>
      <c r="C35" s="246"/>
      <c r="D35" s="308"/>
      <c r="E35" s="217"/>
      <c r="F35" s="246"/>
      <c r="G35" s="246"/>
      <c r="H35" s="344"/>
      <c r="I35" s="246"/>
      <c r="J35" s="338"/>
      <c r="K35" s="246"/>
      <c r="L35" s="246"/>
      <c r="M35" s="246"/>
      <c r="N35" s="246"/>
      <c r="O35" s="246"/>
      <c r="P35" s="246"/>
      <c r="Q35" s="246"/>
      <c r="R35" s="246"/>
      <c r="S35" s="246"/>
      <c r="T35" s="246"/>
      <c r="U35" s="246"/>
      <c r="V35" s="246"/>
      <c r="W35" s="246"/>
    </row>
    <row r="36" spans="1:23" s="249" customFormat="1" ht="18" customHeight="1" x14ac:dyDescent="0.25">
      <c r="A36" s="246"/>
      <c r="B36" s="252" t="s">
        <v>336</v>
      </c>
      <c r="C36" s="305"/>
      <c r="D36" s="310" t="s">
        <v>340</v>
      </c>
      <c r="E36" s="255"/>
      <c r="F36" s="251"/>
      <c r="G36" s="246"/>
      <c r="H36" s="344"/>
      <c r="I36" s="246"/>
      <c r="J36" s="346" t="s">
        <v>330</v>
      </c>
      <c r="K36" s="246"/>
      <c r="L36" s="246"/>
      <c r="M36" s="246"/>
      <c r="N36" s="246"/>
      <c r="O36" s="246"/>
      <c r="P36" s="246"/>
      <c r="Q36" s="246"/>
      <c r="R36" s="246"/>
      <c r="S36" s="246"/>
      <c r="T36" s="246"/>
      <c r="U36" s="246"/>
      <c r="V36" s="246"/>
      <c r="W36" s="246"/>
    </row>
    <row r="37" spans="1:23" s="249" customFormat="1" ht="3.9" customHeight="1" x14ac:dyDescent="0.25">
      <c r="A37" s="246"/>
      <c r="B37" s="246"/>
      <c r="C37" s="246"/>
      <c r="D37" s="308"/>
      <c r="E37" s="217"/>
      <c r="F37" s="246"/>
      <c r="G37" s="246"/>
      <c r="H37" s="344"/>
      <c r="I37" s="246"/>
      <c r="J37" s="346"/>
      <c r="K37" s="246"/>
      <c r="L37" s="246"/>
      <c r="M37" s="246"/>
      <c r="N37" s="246"/>
      <c r="O37" s="246"/>
      <c r="P37" s="246"/>
      <c r="Q37" s="246"/>
      <c r="R37" s="246"/>
      <c r="S37" s="246"/>
      <c r="T37" s="246"/>
      <c r="U37" s="246"/>
      <c r="V37" s="246"/>
      <c r="W37" s="246"/>
    </row>
    <row r="38" spans="1:23" s="249" customFormat="1" ht="18" customHeight="1" x14ac:dyDescent="0.25">
      <c r="A38" s="246"/>
      <c r="B38" s="252" t="s">
        <v>337</v>
      </c>
      <c r="C38" s="305"/>
      <c r="D38" s="301" t="s">
        <v>258</v>
      </c>
      <c r="E38" s="255"/>
      <c r="F38" s="251"/>
      <c r="G38" s="246"/>
      <c r="H38" s="344"/>
      <c r="I38" s="246"/>
      <c r="J38" s="346"/>
      <c r="K38" s="246"/>
      <c r="L38" s="246"/>
      <c r="M38" s="246"/>
      <c r="N38" s="246"/>
      <c r="O38" s="246"/>
      <c r="P38" s="246"/>
      <c r="Q38" s="246"/>
      <c r="R38" s="246"/>
      <c r="S38" s="246"/>
      <c r="T38" s="246"/>
      <c r="U38" s="246"/>
      <c r="V38" s="246"/>
      <c r="W38" s="246"/>
    </row>
    <row r="39" spans="1:23" s="249" customFormat="1" ht="3.9" customHeight="1" x14ac:dyDescent="0.25">
      <c r="A39" s="246"/>
      <c r="B39" s="246"/>
      <c r="C39" s="246"/>
      <c r="D39" s="308"/>
      <c r="E39" s="217"/>
      <c r="F39" s="246"/>
      <c r="G39" s="246"/>
      <c r="H39" s="344"/>
      <c r="I39" s="246"/>
      <c r="J39" s="346"/>
      <c r="K39" s="246"/>
      <c r="L39" s="246"/>
      <c r="M39" s="246"/>
      <c r="N39" s="246"/>
      <c r="O39" s="246"/>
      <c r="P39" s="246"/>
      <c r="Q39" s="246"/>
      <c r="R39" s="246"/>
      <c r="S39" s="246"/>
      <c r="T39" s="246"/>
      <c r="U39" s="246"/>
      <c r="V39" s="246"/>
      <c r="W39" s="246"/>
    </row>
    <row r="40" spans="1:23" s="249" customFormat="1" ht="18" customHeight="1" x14ac:dyDescent="0.25">
      <c r="A40" s="246"/>
      <c r="B40" s="252" t="s">
        <v>338</v>
      </c>
      <c r="C40" s="305"/>
      <c r="D40" s="301" t="s">
        <v>259</v>
      </c>
      <c r="E40" s="255"/>
      <c r="F40" s="251"/>
      <c r="G40" s="246"/>
      <c r="H40" s="344"/>
      <c r="I40" s="246"/>
      <c r="J40" s="346"/>
      <c r="K40" s="246"/>
      <c r="L40" s="246"/>
      <c r="M40" s="246"/>
      <c r="N40" s="246"/>
      <c r="O40" s="246"/>
      <c r="P40" s="246"/>
      <c r="Q40" s="246"/>
      <c r="R40" s="246"/>
      <c r="S40" s="246"/>
      <c r="T40" s="246"/>
      <c r="U40" s="246"/>
      <c r="V40" s="246"/>
      <c r="W40" s="246"/>
    </row>
    <row r="41" spans="1:23" s="249" customFormat="1" ht="3.9" customHeight="1" x14ac:dyDescent="0.25">
      <c r="A41" s="246"/>
      <c r="B41" s="246"/>
      <c r="C41" s="246"/>
      <c r="D41" s="308"/>
      <c r="E41" s="217"/>
      <c r="F41" s="246"/>
      <c r="G41" s="246"/>
      <c r="H41" s="344"/>
      <c r="I41" s="246"/>
      <c r="J41" s="346"/>
      <c r="K41" s="246"/>
      <c r="L41" s="246"/>
      <c r="M41" s="246"/>
      <c r="N41" s="246"/>
      <c r="O41" s="246"/>
      <c r="P41" s="246"/>
      <c r="Q41" s="246"/>
      <c r="R41" s="246"/>
      <c r="S41" s="246"/>
      <c r="T41" s="246"/>
      <c r="U41" s="246"/>
      <c r="V41" s="246"/>
      <c r="W41" s="246"/>
    </row>
    <row r="42" spans="1:23" s="249" customFormat="1" ht="18" customHeight="1" x14ac:dyDescent="0.25">
      <c r="A42" s="246"/>
      <c r="B42" s="252" t="s">
        <v>362</v>
      </c>
      <c r="C42" s="305"/>
      <c r="D42" s="310" t="s">
        <v>363</v>
      </c>
      <c r="E42" s="255"/>
      <c r="F42" s="251"/>
      <c r="G42" s="246"/>
      <c r="H42" s="344"/>
      <c r="I42" s="246"/>
      <c r="J42" s="346"/>
      <c r="K42" s="246"/>
      <c r="L42" s="246"/>
      <c r="M42" s="246"/>
      <c r="N42" s="246"/>
      <c r="O42" s="246"/>
      <c r="P42" s="246"/>
      <c r="Q42" s="246"/>
      <c r="R42" s="246"/>
      <c r="S42" s="246"/>
      <c r="T42" s="246"/>
      <c r="U42" s="246"/>
      <c r="V42" s="246"/>
      <c r="W42" s="246"/>
    </row>
    <row r="43" spans="1:23" s="249" customFormat="1" ht="18" customHeight="1" x14ac:dyDescent="0.25">
      <c r="A43" s="246"/>
      <c r="B43" s="246"/>
      <c r="C43" s="246"/>
      <c r="D43" s="217"/>
      <c r="E43" s="217"/>
      <c r="F43" s="246"/>
      <c r="G43" s="246"/>
      <c r="H43" s="246"/>
      <c r="I43" s="246"/>
      <c r="J43" s="246"/>
      <c r="K43" s="246"/>
      <c r="L43" s="246"/>
      <c r="M43" s="246"/>
      <c r="N43" s="246"/>
      <c r="O43" s="246"/>
      <c r="P43" s="246"/>
      <c r="Q43" s="246"/>
      <c r="R43" s="246"/>
      <c r="S43" s="246"/>
      <c r="T43" s="246"/>
      <c r="U43" s="246"/>
      <c r="V43" s="246"/>
      <c r="W43" s="246"/>
    </row>
    <row r="44" spans="1:23" s="249" customFormat="1" ht="18" customHeight="1" x14ac:dyDescent="0.25">
      <c r="A44" s="246"/>
      <c r="B44" s="246"/>
      <c r="C44" s="246"/>
      <c r="D44" s="246"/>
      <c r="E44" s="246"/>
      <c r="F44" s="246"/>
      <c r="G44" s="246"/>
      <c r="H44" s="246"/>
      <c r="I44" s="246"/>
      <c r="J44" s="246"/>
      <c r="K44" s="246"/>
      <c r="L44" s="246"/>
      <c r="M44" s="246"/>
      <c r="N44" s="246"/>
      <c r="O44" s="246"/>
      <c r="P44" s="246"/>
      <c r="Q44" s="246"/>
      <c r="R44" s="246"/>
      <c r="S44" s="246"/>
      <c r="T44" s="246"/>
      <c r="U44" s="246"/>
      <c r="V44" s="246"/>
      <c r="W44" s="246"/>
    </row>
    <row r="45" spans="1:23" s="249" customFormat="1" ht="18" customHeight="1" x14ac:dyDescent="0.25">
      <c r="A45" s="246"/>
      <c r="B45" s="246"/>
      <c r="C45" s="246"/>
      <c r="D45" s="246"/>
      <c r="E45" s="246"/>
      <c r="F45" s="246"/>
      <c r="G45" s="246"/>
      <c r="H45" s="246"/>
      <c r="I45" s="246"/>
      <c r="J45" s="246"/>
      <c r="K45" s="246"/>
      <c r="L45" s="246"/>
      <c r="M45" s="246"/>
      <c r="N45" s="246"/>
      <c r="O45" s="246"/>
      <c r="P45" s="246"/>
      <c r="Q45" s="246"/>
      <c r="R45" s="246"/>
      <c r="S45" s="246"/>
      <c r="T45" s="246"/>
      <c r="U45" s="246"/>
      <c r="V45" s="246"/>
      <c r="W45" s="246"/>
    </row>
    <row r="46" spans="1:23" s="249" customFormat="1" ht="18" customHeight="1" x14ac:dyDescent="0.25">
      <c r="A46" s="246"/>
      <c r="B46" s="246"/>
      <c r="C46" s="246"/>
      <c r="D46" s="246"/>
      <c r="E46" s="246"/>
      <c r="F46" s="246"/>
      <c r="G46" s="246"/>
      <c r="H46" s="246"/>
      <c r="I46" s="246"/>
      <c r="J46" s="246"/>
      <c r="K46" s="246"/>
      <c r="L46" s="246"/>
      <c r="M46" s="246"/>
      <c r="N46" s="246"/>
      <c r="O46" s="246"/>
      <c r="P46" s="246"/>
      <c r="Q46" s="246"/>
      <c r="R46" s="246"/>
      <c r="S46" s="246"/>
      <c r="T46" s="246"/>
      <c r="U46" s="246"/>
      <c r="V46" s="246"/>
      <c r="W46" s="246"/>
    </row>
    <row r="47" spans="1:23" s="249" customFormat="1" ht="18" customHeight="1" x14ac:dyDescent="0.25">
      <c r="A47" s="246"/>
      <c r="B47" s="246"/>
      <c r="C47" s="246"/>
      <c r="D47" s="246"/>
      <c r="E47" s="246"/>
      <c r="F47" s="246"/>
      <c r="G47" s="246"/>
      <c r="H47" s="246"/>
      <c r="I47" s="246"/>
      <c r="J47" s="246"/>
      <c r="K47" s="246"/>
      <c r="L47" s="246"/>
      <c r="M47" s="246"/>
      <c r="N47" s="246"/>
      <c r="O47" s="246"/>
      <c r="P47" s="246"/>
      <c r="Q47" s="246"/>
      <c r="R47" s="246"/>
      <c r="S47" s="246"/>
      <c r="T47" s="246"/>
      <c r="U47" s="246"/>
      <c r="V47" s="246"/>
      <c r="W47" s="246"/>
    </row>
    <row r="48" spans="1:23" s="249" customFormat="1" ht="18" customHeight="1" x14ac:dyDescent="0.25">
      <c r="A48" s="246"/>
      <c r="B48" s="246"/>
      <c r="C48" s="246"/>
      <c r="D48" s="246"/>
      <c r="E48" s="246"/>
      <c r="F48" s="246"/>
      <c r="G48" s="246"/>
      <c r="H48" s="246"/>
      <c r="I48" s="246"/>
      <c r="J48" s="246"/>
      <c r="K48" s="246"/>
      <c r="L48" s="246"/>
      <c r="M48" s="246"/>
      <c r="N48" s="246"/>
      <c r="O48" s="246"/>
      <c r="P48" s="246"/>
      <c r="Q48" s="246"/>
      <c r="R48" s="246"/>
      <c r="S48" s="246"/>
      <c r="T48" s="246"/>
      <c r="U48" s="246"/>
      <c r="V48" s="246"/>
      <c r="W48" s="246"/>
    </row>
    <row r="49" spans="1:23" s="249" customFormat="1" ht="18" customHeight="1" x14ac:dyDescent="0.25">
      <c r="A49" s="246"/>
      <c r="B49" s="246"/>
      <c r="C49" s="246"/>
      <c r="D49" s="246"/>
      <c r="E49" s="246"/>
      <c r="F49" s="246"/>
      <c r="G49" s="246"/>
      <c r="H49" s="246"/>
      <c r="I49" s="246"/>
      <c r="J49" s="246"/>
      <c r="K49" s="246"/>
      <c r="L49" s="246"/>
      <c r="M49" s="246"/>
      <c r="N49" s="246"/>
      <c r="O49" s="246"/>
      <c r="P49" s="246"/>
      <c r="Q49" s="246"/>
      <c r="R49" s="246"/>
      <c r="S49" s="246"/>
      <c r="T49" s="246"/>
      <c r="U49" s="246"/>
      <c r="V49" s="246"/>
      <c r="W49" s="246"/>
    </row>
    <row r="50" spans="1:23" s="249" customFormat="1" ht="18" customHeight="1" x14ac:dyDescent="0.25">
      <c r="A50" s="246"/>
      <c r="B50" s="246"/>
      <c r="C50" s="246"/>
      <c r="D50" s="246"/>
      <c r="E50" s="246"/>
      <c r="F50" s="246"/>
      <c r="G50" s="246"/>
      <c r="H50" s="246"/>
      <c r="I50" s="246"/>
      <c r="J50" s="246"/>
      <c r="K50" s="246"/>
      <c r="L50" s="246"/>
      <c r="M50" s="246"/>
      <c r="N50" s="246"/>
      <c r="O50" s="246"/>
      <c r="P50" s="246"/>
      <c r="Q50" s="246"/>
      <c r="R50" s="246"/>
      <c r="S50" s="246"/>
      <c r="T50" s="246"/>
      <c r="U50" s="246"/>
      <c r="V50" s="246"/>
      <c r="W50" s="246"/>
    </row>
    <row r="51" spans="1:23" s="249" customFormat="1" ht="18" customHeight="1" x14ac:dyDescent="0.25">
      <c r="A51" s="246"/>
      <c r="B51" s="246"/>
      <c r="C51" s="246"/>
      <c r="D51" s="246"/>
      <c r="E51" s="246"/>
      <c r="F51" s="246"/>
      <c r="G51" s="246"/>
      <c r="H51" s="246"/>
      <c r="I51" s="246"/>
      <c r="J51" s="246"/>
      <c r="K51" s="246"/>
      <c r="L51" s="246"/>
      <c r="M51" s="246"/>
      <c r="N51" s="246"/>
      <c r="O51" s="246"/>
      <c r="P51" s="246"/>
      <c r="Q51" s="246"/>
      <c r="R51" s="246"/>
      <c r="S51" s="246"/>
      <c r="T51" s="246"/>
      <c r="U51" s="246"/>
      <c r="V51" s="246"/>
      <c r="W51" s="246"/>
    </row>
    <row r="52" spans="1:23" s="249" customFormat="1" ht="18" customHeight="1" x14ac:dyDescent="0.25">
      <c r="A52" s="246"/>
      <c r="B52" s="246"/>
      <c r="C52" s="246"/>
      <c r="D52" s="246"/>
      <c r="E52" s="246"/>
      <c r="F52" s="246"/>
      <c r="G52" s="246"/>
      <c r="H52" s="246"/>
      <c r="I52" s="246"/>
      <c r="J52" s="246"/>
      <c r="K52" s="246"/>
      <c r="L52" s="246"/>
      <c r="M52" s="246"/>
      <c r="N52" s="246"/>
      <c r="O52" s="246"/>
      <c r="P52" s="246"/>
      <c r="Q52" s="246"/>
      <c r="R52" s="246"/>
      <c r="S52" s="246"/>
      <c r="T52" s="246"/>
      <c r="U52" s="246"/>
      <c r="V52" s="246"/>
      <c r="W52" s="246"/>
    </row>
    <row r="53" spans="1:23" s="249" customFormat="1" ht="18" customHeight="1" x14ac:dyDescent="0.25">
      <c r="A53" s="246"/>
      <c r="B53" s="246"/>
      <c r="C53" s="246"/>
      <c r="D53" s="246"/>
      <c r="E53" s="246"/>
      <c r="F53" s="246"/>
      <c r="G53" s="246"/>
      <c r="H53" s="246"/>
      <c r="I53" s="246"/>
      <c r="J53" s="246"/>
      <c r="K53" s="246"/>
      <c r="L53" s="246"/>
      <c r="M53" s="246"/>
      <c r="N53" s="246"/>
      <c r="O53" s="246"/>
      <c r="P53" s="246"/>
      <c r="Q53" s="246"/>
      <c r="R53" s="246"/>
      <c r="S53" s="246"/>
      <c r="T53" s="246"/>
      <c r="U53" s="246"/>
      <c r="V53" s="246"/>
      <c r="W53" s="246"/>
    </row>
    <row r="54" spans="1:23" s="249" customFormat="1" ht="18" customHeight="1" x14ac:dyDescent="0.25">
      <c r="A54" s="246"/>
      <c r="B54" s="246"/>
      <c r="C54" s="246"/>
      <c r="D54" s="246"/>
      <c r="E54" s="246"/>
      <c r="F54" s="246"/>
      <c r="G54" s="246"/>
      <c r="H54" s="246"/>
      <c r="I54" s="246"/>
      <c r="J54" s="246"/>
      <c r="K54" s="246"/>
      <c r="L54" s="246"/>
      <c r="M54" s="246"/>
      <c r="N54" s="246"/>
      <c r="O54" s="246"/>
      <c r="P54" s="246"/>
      <c r="Q54" s="246"/>
      <c r="R54" s="246"/>
      <c r="S54" s="246"/>
      <c r="T54" s="246"/>
      <c r="U54" s="246"/>
      <c r="V54" s="246"/>
      <c r="W54" s="246"/>
    </row>
    <row r="55" spans="1:23" s="249" customFormat="1" ht="18" customHeight="1" x14ac:dyDescent="0.25">
      <c r="A55" s="246"/>
      <c r="B55" s="246"/>
      <c r="C55" s="246"/>
      <c r="D55" s="246"/>
      <c r="E55" s="246"/>
      <c r="F55" s="246"/>
      <c r="G55" s="246"/>
      <c r="H55" s="246"/>
      <c r="I55" s="246"/>
      <c r="J55" s="246"/>
      <c r="K55" s="246"/>
      <c r="L55" s="246"/>
      <c r="M55" s="246"/>
      <c r="N55" s="246"/>
      <c r="O55" s="246"/>
      <c r="P55" s="246"/>
      <c r="Q55" s="246"/>
      <c r="R55" s="246"/>
      <c r="S55" s="246"/>
      <c r="T55" s="246"/>
      <c r="U55" s="246"/>
      <c r="V55" s="246"/>
      <c r="W55" s="246"/>
    </row>
    <row r="56" spans="1:23" s="249" customFormat="1" ht="18" customHeight="1" x14ac:dyDescent="0.25">
      <c r="A56" s="246"/>
      <c r="B56" s="246"/>
      <c r="C56" s="246"/>
      <c r="D56" s="246"/>
      <c r="E56" s="246"/>
      <c r="F56" s="246"/>
      <c r="G56" s="246"/>
      <c r="H56" s="246"/>
      <c r="I56" s="246"/>
      <c r="J56" s="246"/>
      <c r="K56" s="246"/>
      <c r="L56" s="246"/>
      <c r="M56" s="246"/>
      <c r="N56" s="246"/>
      <c r="O56" s="246"/>
      <c r="P56" s="246"/>
      <c r="Q56" s="246"/>
      <c r="R56" s="246"/>
      <c r="S56" s="246"/>
      <c r="T56" s="246"/>
      <c r="U56" s="246"/>
      <c r="V56" s="246"/>
      <c r="W56" s="246"/>
    </row>
    <row r="57" spans="1:23" s="249" customFormat="1" ht="18" customHeight="1" x14ac:dyDescent="0.25">
      <c r="A57" s="246"/>
      <c r="B57" s="246"/>
      <c r="C57" s="246"/>
      <c r="D57" s="246"/>
      <c r="E57" s="246"/>
      <c r="F57" s="246"/>
      <c r="G57" s="246"/>
      <c r="H57" s="246"/>
      <c r="I57" s="246"/>
      <c r="J57" s="246"/>
      <c r="K57" s="246"/>
      <c r="L57" s="246"/>
      <c r="M57" s="246"/>
      <c r="N57" s="246"/>
      <c r="O57" s="246"/>
      <c r="P57" s="246"/>
      <c r="Q57" s="246"/>
      <c r="R57" s="246"/>
      <c r="S57" s="246"/>
      <c r="T57" s="246"/>
      <c r="U57" s="246"/>
      <c r="V57" s="246"/>
      <c r="W57" s="246"/>
    </row>
    <row r="58" spans="1:23" s="249" customFormat="1" ht="18" customHeight="1" x14ac:dyDescent="0.25">
      <c r="A58" s="246"/>
      <c r="B58" s="246"/>
      <c r="C58" s="246"/>
      <c r="D58" s="246"/>
      <c r="E58" s="246"/>
      <c r="F58" s="246"/>
      <c r="G58" s="246"/>
      <c r="H58" s="246"/>
      <c r="I58" s="246"/>
      <c r="J58" s="246"/>
      <c r="K58" s="246"/>
      <c r="L58" s="246"/>
      <c r="M58" s="246"/>
      <c r="N58" s="246"/>
      <c r="O58" s="246"/>
      <c r="P58" s="246"/>
      <c r="Q58" s="246"/>
      <c r="R58" s="246"/>
      <c r="S58" s="246"/>
      <c r="T58" s="246"/>
      <c r="U58" s="246"/>
      <c r="V58" s="246"/>
      <c r="W58" s="246"/>
    </row>
    <row r="59" spans="1:23" s="249" customFormat="1" ht="18" customHeight="1" x14ac:dyDescent="0.25">
      <c r="A59" s="246"/>
      <c r="B59" s="246"/>
      <c r="C59" s="246"/>
      <c r="D59" s="246"/>
      <c r="E59" s="246"/>
      <c r="F59" s="246"/>
      <c r="G59" s="246"/>
      <c r="H59" s="246"/>
      <c r="I59" s="246"/>
      <c r="J59" s="246"/>
      <c r="K59" s="246"/>
      <c r="L59" s="246"/>
      <c r="M59" s="246"/>
      <c r="N59" s="246"/>
      <c r="O59" s="246"/>
      <c r="P59" s="246"/>
      <c r="Q59" s="246"/>
      <c r="R59" s="246"/>
      <c r="S59" s="246"/>
      <c r="T59" s="246"/>
      <c r="U59" s="246"/>
      <c r="V59" s="246"/>
      <c r="W59" s="246"/>
    </row>
  </sheetData>
  <mergeCells count="10">
    <mergeCell ref="B1:H1"/>
    <mergeCell ref="J3:J7"/>
    <mergeCell ref="B4:D4"/>
    <mergeCell ref="D6:D10"/>
    <mergeCell ref="H8:H42"/>
    <mergeCell ref="B12:D12"/>
    <mergeCell ref="J8:J32"/>
    <mergeCell ref="J36:J42"/>
    <mergeCell ref="D20:D22"/>
    <mergeCell ref="B24:D24"/>
  </mergeCells>
  <conditionalFormatting sqref="H6">
    <cfRule type="expression" dxfId="65" priority="5">
      <formula>IF($G$4&gt;3,TRUE,FALSE)</formula>
    </cfRule>
    <cfRule type="expression" dxfId="64" priority="6">
      <formula>IF($G$4&gt;0,TRUE,FALSE)</formula>
    </cfRule>
  </conditionalFormatting>
  <conditionalFormatting sqref="D6:E10">
    <cfRule type="expression" dxfId="63" priority="4">
      <formula>IF($D$6="",FALSE,TRUE)</formula>
    </cfRule>
  </conditionalFormatting>
  <conditionalFormatting sqref="J2:J3">
    <cfRule type="expression" dxfId="62" priority="3">
      <formula>IF($G$4=0,TRUE,FALSE)</formula>
    </cfRule>
  </conditionalFormatting>
  <conditionalFormatting sqref="H8:H42">
    <cfRule type="expression" dxfId="61" priority="2">
      <formula>IF($G$4=0,TRUE,FALSE)</formula>
    </cfRule>
  </conditionalFormatting>
  <conditionalFormatting sqref="J8 J32">
    <cfRule type="expression" dxfId="60" priority="1">
      <formula>IF($J$8="",FALSE,TRUE)</formula>
    </cfRule>
  </conditionalFormatting>
  <hyperlinks>
    <hyperlink ref="D18" location="'Internetfenster 2'!F6" display="Vergleichsbetrieb à"/>
    <hyperlink ref="D16" location="'Internetfenster 1'!F6" display="aktueller Betrieb à"/>
    <hyperlink ref="D20:D21" location="Pacht!A1" display="Zu-/Verpachtung bzw. Zu-/Verkauf"/>
    <hyperlink ref="D28" location="'Beiträge aus EHW'!I5" display="Beiträge aus dem Einheitswert à"/>
    <hyperlink ref="D30:D31" location="'Beiträge NT'!A1" display="Beiträge aus Nebentätigkeiten à"/>
    <hyperlink ref="D32" location="'BTG und Beitragssatz'!A1" display="Beitragsgrundlage &amp; Beitragssatz"/>
    <hyperlink ref="D34" location="EHW!E5" display="Zu-/Verpachtung etc. Info"/>
    <hyperlink ref="D36" location="Angehörige!A1" display="Hauptb. beschäftigte Angehörige"/>
    <hyperlink ref="D38" location="'Mindest-BTG'!A1" display="Mindest-Beitragsgrundlagen"/>
    <hyperlink ref="D40" location="'Höchst-BTG'!A1" display="Höchst-Beitragsgrundlagen"/>
    <hyperlink ref="D42" location="'EHW-Änderungen'!A1" display="Einheitswerthauptfeststellung"/>
  </hyperlink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Check Box 1">
              <controlPr defaultSize="0" autoFill="0" autoLine="0" autoPict="0">
                <anchor moveWithCells="1">
                  <from>
                    <xdr:col>5</xdr:col>
                    <xdr:colOff>274320</xdr:colOff>
                    <xdr:row>4</xdr:row>
                    <xdr:rowOff>213360</xdr:rowOff>
                  </from>
                  <to>
                    <xdr:col>5</xdr:col>
                    <xdr:colOff>579120</xdr:colOff>
                    <xdr:row>6</xdr:row>
                    <xdr:rowOff>30480</xdr:rowOff>
                  </to>
                </anchor>
              </controlPr>
            </control>
          </mc:Choice>
        </mc:AlternateContent>
        <mc:AlternateContent xmlns:mc="http://schemas.openxmlformats.org/markup-compatibility/2006">
          <mc:Choice Requires="x14">
            <control shapeId="29698" r:id="rId4" name="Check Box 2">
              <controlPr defaultSize="0" autoFill="0" autoLine="0" autoPict="0">
                <anchor moveWithCells="1">
                  <from>
                    <xdr:col>5</xdr:col>
                    <xdr:colOff>274320</xdr:colOff>
                    <xdr:row>6</xdr:row>
                    <xdr:rowOff>213360</xdr:rowOff>
                  </from>
                  <to>
                    <xdr:col>5</xdr:col>
                    <xdr:colOff>579120</xdr:colOff>
                    <xdr:row>8</xdr:row>
                    <xdr:rowOff>30480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5</xdr:col>
                    <xdr:colOff>274320</xdr:colOff>
                    <xdr:row>8</xdr:row>
                    <xdr:rowOff>213360</xdr:rowOff>
                  </from>
                  <to>
                    <xdr:col>5</xdr:col>
                    <xdr:colOff>579120</xdr:colOff>
                    <xdr:row>10</xdr:row>
                    <xdr:rowOff>30480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5</xdr:col>
                    <xdr:colOff>289560</xdr:colOff>
                    <xdr:row>14</xdr:row>
                    <xdr:rowOff>22860</xdr:rowOff>
                  </from>
                  <to>
                    <xdr:col>5</xdr:col>
                    <xdr:colOff>594360</xdr:colOff>
                    <xdr:row>16</xdr:row>
                    <xdr:rowOff>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5</xdr:col>
                    <xdr:colOff>289560</xdr:colOff>
                    <xdr:row>18</xdr:row>
                    <xdr:rowOff>22860</xdr:rowOff>
                  </from>
                  <to>
                    <xdr:col>5</xdr:col>
                    <xdr:colOff>594360</xdr:colOff>
                    <xdr:row>20</xdr:row>
                    <xdr:rowOff>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5</xdr:col>
                    <xdr:colOff>289560</xdr:colOff>
                    <xdr:row>16</xdr:row>
                    <xdr:rowOff>22860</xdr:rowOff>
                  </from>
                  <to>
                    <xdr:col>5</xdr:col>
                    <xdr:colOff>594360</xdr:colOff>
                    <xdr:row>18</xdr:row>
                    <xdr:rowOff>0</xdr:rowOff>
                  </to>
                </anchor>
              </controlPr>
            </control>
          </mc:Choice>
        </mc:AlternateContent>
        <mc:AlternateContent xmlns:mc="http://schemas.openxmlformats.org/markup-compatibility/2006">
          <mc:Choice Requires="x14">
            <control shapeId="29706" r:id="rId9" name="Check Box 10">
              <controlPr defaultSize="0" autoFill="0" autoLine="0" autoPict="0">
                <anchor moveWithCells="1">
                  <from>
                    <xdr:col>5</xdr:col>
                    <xdr:colOff>289560</xdr:colOff>
                    <xdr:row>26</xdr:row>
                    <xdr:rowOff>22860</xdr:rowOff>
                  </from>
                  <to>
                    <xdr:col>5</xdr:col>
                    <xdr:colOff>594360</xdr:colOff>
                    <xdr:row>28</xdr:row>
                    <xdr:rowOff>0</xdr:rowOff>
                  </to>
                </anchor>
              </controlPr>
            </control>
          </mc:Choice>
        </mc:AlternateContent>
        <mc:AlternateContent xmlns:mc="http://schemas.openxmlformats.org/markup-compatibility/2006">
          <mc:Choice Requires="x14">
            <control shapeId="29707" r:id="rId10" name="Check Box 11">
              <controlPr defaultSize="0" autoFill="0" autoLine="0" autoPict="0">
                <anchor moveWithCells="1">
                  <from>
                    <xdr:col>5</xdr:col>
                    <xdr:colOff>289560</xdr:colOff>
                    <xdr:row>28</xdr:row>
                    <xdr:rowOff>22860</xdr:rowOff>
                  </from>
                  <to>
                    <xdr:col>5</xdr:col>
                    <xdr:colOff>594360</xdr:colOff>
                    <xdr:row>30</xdr:row>
                    <xdr:rowOff>0</xdr:rowOff>
                  </to>
                </anchor>
              </controlPr>
            </control>
          </mc:Choice>
        </mc:AlternateContent>
        <mc:AlternateContent xmlns:mc="http://schemas.openxmlformats.org/markup-compatibility/2006">
          <mc:Choice Requires="x14">
            <control shapeId="29708" r:id="rId11" name="Check Box 12">
              <controlPr defaultSize="0" autoFill="0" autoLine="0" autoPict="0">
                <anchor moveWithCells="1">
                  <from>
                    <xdr:col>5</xdr:col>
                    <xdr:colOff>289560</xdr:colOff>
                    <xdr:row>30</xdr:row>
                    <xdr:rowOff>22860</xdr:rowOff>
                  </from>
                  <to>
                    <xdr:col>5</xdr:col>
                    <xdr:colOff>594360</xdr:colOff>
                    <xdr:row>32</xdr:row>
                    <xdr:rowOff>0</xdr:rowOff>
                  </to>
                </anchor>
              </controlPr>
            </control>
          </mc:Choice>
        </mc:AlternateContent>
        <mc:AlternateContent xmlns:mc="http://schemas.openxmlformats.org/markup-compatibility/2006">
          <mc:Choice Requires="x14">
            <control shapeId="29709" r:id="rId12" name="Check Box 13">
              <controlPr defaultSize="0" autoFill="0" autoLine="0" autoPict="0">
                <anchor moveWithCells="1">
                  <from>
                    <xdr:col>5</xdr:col>
                    <xdr:colOff>289560</xdr:colOff>
                    <xdr:row>32</xdr:row>
                    <xdr:rowOff>22860</xdr:rowOff>
                  </from>
                  <to>
                    <xdr:col>5</xdr:col>
                    <xdr:colOff>594360</xdr:colOff>
                    <xdr:row>34</xdr:row>
                    <xdr:rowOff>0</xdr:rowOff>
                  </to>
                </anchor>
              </controlPr>
            </control>
          </mc:Choice>
        </mc:AlternateContent>
        <mc:AlternateContent xmlns:mc="http://schemas.openxmlformats.org/markup-compatibility/2006">
          <mc:Choice Requires="x14">
            <control shapeId="29710" r:id="rId13" name="Check Box 14">
              <controlPr defaultSize="0" autoFill="0" autoLine="0" autoPict="0">
                <anchor moveWithCells="1">
                  <from>
                    <xdr:col>5</xdr:col>
                    <xdr:colOff>289560</xdr:colOff>
                    <xdr:row>34</xdr:row>
                    <xdr:rowOff>22860</xdr:rowOff>
                  </from>
                  <to>
                    <xdr:col>5</xdr:col>
                    <xdr:colOff>594360</xdr:colOff>
                    <xdr:row>36</xdr:row>
                    <xdr:rowOff>0</xdr:rowOff>
                  </to>
                </anchor>
              </controlPr>
            </control>
          </mc:Choice>
        </mc:AlternateContent>
        <mc:AlternateContent xmlns:mc="http://schemas.openxmlformats.org/markup-compatibility/2006">
          <mc:Choice Requires="x14">
            <control shapeId="29711" r:id="rId14" name="Check Box 15">
              <controlPr defaultSize="0" autoFill="0" autoLine="0" autoPict="0">
                <anchor moveWithCells="1">
                  <from>
                    <xdr:col>5</xdr:col>
                    <xdr:colOff>289560</xdr:colOff>
                    <xdr:row>36</xdr:row>
                    <xdr:rowOff>22860</xdr:rowOff>
                  </from>
                  <to>
                    <xdr:col>5</xdr:col>
                    <xdr:colOff>594360</xdr:colOff>
                    <xdr:row>38</xdr:row>
                    <xdr:rowOff>0</xdr:rowOff>
                  </to>
                </anchor>
              </controlPr>
            </control>
          </mc:Choice>
        </mc:AlternateContent>
        <mc:AlternateContent xmlns:mc="http://schemas.openxmlformats.org/markup-compatibility/2006">
          <mc:Choice Requires="x14">
            <control shapeId="29712" r:id="rId15" name="Check Box 16">
              <controlPr defaultSize="0" autoFill="0" autoLine="0" autoPict="0">
                <anchor moveWithCells="1">
                  <from>
                    <xdr:col>5</xdr:col>
                    <xdr:colOff>289560</xdr:colOff>
                    <xdr:row>38</xdr:row>
                    <xdr:rowOff>22860</xdr:rowOff>
                  </from>
                  <to>
                    <xdr:col>5</xdr:col>
                    <xdr:colOff>594360</xdr:colOff>
                    <xdr:row>40</xdr:row>
                    <xdr:rowOff>0</xdr:rowOff>
                  </to>
                </anchor>
              </controlPr>
            </control>
          </mc:Choice>
        </mc:AlternateContent>
        <mc:AlternateContent xmlns:mc="http://schemas.openxmlformats.org/markup-compatibility/2006">
          <mc:Choice Requires="x14">
            <control shapeId="29713" r:id="rId16" name="Check Box 17">
              <controlPr defaultSize="0" autoFill="0" autoLine="0" autoPict="0">
                <anchor moveWithCells="1">
                  <from>
                    <xdr:col>5</xdr:col>
                    <xdr:colOff>289560</xdr:colOff>
                    <xdr:row>40</xdr:row>
                    <xdr:rowOff>22860</xdr:rowOff>
                  </from>
                  <to>
                    <xdr:col>5</xdr:col>
                    <xdr:colOff>594360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L130"/>
  <sheetViews>
    <sheetView showGridLines="0" topLeftCell="D1" zoomScale="115" zoomScaleNormal="115" workbookViewId="0">
      <selection activeCell="F6" sqref="F6"/>
    </sheetView>
  </sheetViews>
  <sheetFormatPr baseColWidth="10" defaultColWidth="11.59765625" defaultRowHeight="13.8" x14ac:dyDescent="0.25"/>
  <cols>
    <col min="1" max="1" width="6.59765625" customWidth="1"/>
    <col min="2" max="2" width="1.59765625" customWidth="1"/>
    <col min="3" max="3" width="11.59765625" customWidth="1"/>
    <col min="4" max="4" width="16.5" customWidth="1"/>
    <col min="5" max="5" width="1.59765625" customWidth="1"/>
    <col min="6" max="6" width="11.59765625" customWidth="1"/>
    <col min="7" max="7" width="1.59765625" customWidth="1"/>
    <col min="8" max="8" width="11.59765625" customWidth="1"/>
    <col min="9" max="9" width="1.59765625" customWidth="1"/>
    <col min="10" max="10" width="11.59765625" customWidth="1"/>
    <col min="11" max="11" width="1.59765625" customWidth="1"/>
    <col min="12" max="12" width="11.59765625" customWidth="1"/>
    <col min="13" max="13" width="1.59765625" customWidth="1"/>
    <col min="14" max="14" width="11.59765625" customWidth="1"/>
    <col min="15" max="15" width="1.59765625" customWidth="1"/>
    <col min="16" max="16" width="11.59765625" customWidth="1"/>
    <col min="17" max="17" width="1.59765625" customWidth="1"/>
    <col min="18" max="18" width="11.59765625" customWidth="1"/>
    <col min="19" max="21" width="1.59765625" customWidth="1"/>
    <col min="22" max="22" width="30.59765625" customWidth="1"/>
    <col min="23" max="23" width="3.59765625" customWidth="1"/>
    <col min="24" max="24" width="48.59765625" style="296" customWidth="1"/>
  </cols>
  <sheetData>
    <row r="1" spans="1:38" x14ac:dyDescent="0.25">
      <c r="A1" s="198"/>
      <c r="B1" s="198"/>
      <c r="C1" s="198"/>
      <c r="D1" s="198"/>
      <c r="E1" s="198"/>
      <c r="F1" s="198"/>
      <c r="G1" s="198"/>
      <c r="H1" s="198"/>
      <c r="I1" s="198"/>
      <c r="J1" s="198"/>
      <c r="K1" s="198"/>
      <c r="L1" s="198"/>
      <c r="M1" s="198"/>
      <c r="N1" s="198"/>
      <c r="O1" s="198"/>
      <c r="P1" s="198"/>
      <c r="Q1" s="198"/>
      <c r="R1" s="198"/>
      <c r="S1" s="198"/>
      <c r="T1" s="198"/>
      <c r="U1" s="198"/>
      <c r="V1" s="198"/>
      <c r="W1" s="198"/>
      <c r="X1" s="295"/>
      <c r="Y1" s="198"/>
      <c r="Z1" s="198"/>
      <c r="AA1" s="198"/>
      <c r="AB1" s="198"/>
      <c r="AC1" s="198"/>
      <c r="AD1" s="198"/>
      <c r="AE1" s="198"/>
      <c r="AF1" s="198"/>
      <c r="AG1" s="198"/>
      <c r="AH1" s="198"/>
      <c r="AI1" s="198"/>
      <c r="AJ1" s="198"/>
      <c r="AK1" s="198"/>
      <c r="AL1" s="298">
        <f>IF(Bedienungsanleitungen!B3=TRUE,1,0)</f>
        <v>0</v>
      </c>
    </row>
    <row r="2" spans="1:38" x14ac:dyDescent="0.25">
      <c r="A2" s="198"/>
      <c r="C2" s="349" t="s">
        <v>331</v>
      </c>
      <c r="D2" s="349"/>
      <c r="E2" s="349"/>
      <c r="F2" s="349"/>
      <c r="G2" s="349"/>
      <c r="P2" s="352" t="s">
        <v>251</v>
      </c>
      <c r="Q2" s="352"/>
      <c r="R2" s="352"/>
      <c r="S2" s="352"/>
      <c r="T2" s="198"/>
      <c r="U2" s="198"/>
      <c r="V2" s="243" t="s">
        <v>261</v>
      </c>
      <c r="W2" s="198"/>
      <c r="X2" s="299" t="str">
        <f>"      Allgemeine Bedienungshinweise "&amp;IF(AL1=1,"ausblenden","einblenden")</f>
        <v xml:space="preserve">      Allgemeine Bedienungshinweise einblenden</v>
      </c>
      <c r="Y2" s="198"/>
      <c r="Z2" s="198"/>
      <c r="AA2" s="198"/>
      <c r="AB2" s="198"/>
      <c r="AC2" s="198"/>
      <c r="AD2" s="198"/>
      <c r="AE2" s="198"/>
      <c r="AF2" s="198"/>
      <c r="AG2" s="198"/>
      <c r="AH2" s="198"/>
      <c r="AI2" s="198"/>
      <c r="AJ2" s="198"/>
      <c r="AK2" s="198"/>
      <c r="AL2" s="298">
        <f>IF(Bedienungsanleitungen!E3=TRUE,1,0)</f>
        <v>0</v>
      </c>
    </row>
    <row r="3" spans="1:38" ht="15" customHeight="1" x14ac:dyDescent="0.25">
      <c r="A3" s="198"/>
      <c r="P3" s="352"/>
      <c r="Q3" s="352"/>
      <c r="R3" s="352"/>
      <c r="S3" s="352"/>
      <c r="T3" s="198"/>
      <c r="U3" s="198"/>
      <c r="V3" s="243" t="s">
        <v>132</v>
      </c>
      <c r="W3" s="198"/>
      <c r="X3" s="299" t="str">
        <f>"      Bedienungstipps zu Nebentätigkeiten "&amp;IF(AL2=1,"ausblenden","einblenden")</f>
        <v xml:space="preserve">      Bedienungstipps zu Nebentätigkeiten einblenden</v>
      </c>
      <c r="Y3" s="198"/>
      <c r="Z3" s="198"/>
      <c r="AA3" s="198"/>
      <c r="AB3" s="198"/>
      <c r="AC3" s="198"/>
      <c r="AD3" s="198"/>
      <c r="AE3" s="198"/>
      <c r="AF3" s="198"/>
      <c r="AG3" s="198"/>
      <c r="AH3" s="198"/>
      <c r="AI3" s="198"/>
      <c r="AJ3" s="198"/>
      <c r="AK3" s="198"/>
      <c r="AL3" s="297">
        <f>SUM(AL1:AL2)</f>
        <v>0</v>
      </c>
    </row>
    <row r="4" spans="1:38" ht="15.9" customHeight="1" x14ac:dyDescent="0.25">
      <c r="A4" s="198"/>
      <c r="C4" t="s">
        <v>117</v>
      </c>
      <c r="E4" s="294" t="s">
        <v>268</v>
      </c>
      <c r="J4" s="354" t="s">
        <v>118</v>
      </c>
      <c r="K4" s="354"/>
      <c r="L4" s="354"/>
      <c r="M4" s="354"/>
      <c r="N4" s="354"/>
      <c r="T4" s="198"/>
      <c r="U4" s="198"/>
      <c r="V4" s="300"/>
      <c r="W4" s="198"/>
      <c r="X4" s="223" t="str">
        <f>IF(Bedienungsanleitungen!E3=TRUE,Bedienungsanleitungen!E4,IF(Bedienungsanleitungen!B3=TRUE,Bedienungsanleitungen!B4,""))</f>
        <v/>
      </c>
      <c r="Y4" s="198"/>
      <c r="Z4" s="198"/>
      <c r="AA4" s="198"/>
      <c r="AB4" s="198"/>
      <c r="AC4" s="198"/>
      <c r="AD4" s="198"/>
      <c r="AE4" s="198"/>
      <c r="AF4" s="198"/>
      <c r="AG4" s="198"/>
      <c r="AH4" s="198"/>
      <c r="AI4" s="198"/>
      <c r="AJ4" s="198"/>
      <c r="AK4" s="198"/>
    </row>
    <row r="5" spans="1:38" ht="28.5" customHeight="1" x14ac:dyDescent="0.25">
      <c r="A5" s="198"/>
      <c r="C5" s="144"/>
      <c r="D5" s="351" t="str">
        <f>IF(VLOOKUP('Verknüpfungen 1'!A2,Wertedatenbank!A3:B21,Wertedatenbank!B22)=1,"Werte für "&amp;'Verknüpfungen 1'!A2&amp;" noch nicht vorhanden. Berechnung erfolgt auf Basis "&amp;'Verknüpfungen 1'!A6&amp;"!","")</f>
        <v/>
      </c>
      <c r="E5" s="351"/>
      <c r="F5" s="351"/>
      <c r="J5" s="126" t="s">
        <v>122</v>
      </c>
      <c r="K5" s="1"/>
      <c r="L5" s="126" t="s">
        <v>123</v>
      </c>
      <c r="M5" s="1"/>
      <c r="N5" s="126" t="s">
        <v>124</v>
      </c>
      <c r="P5" s="126" t="str">
        <f>IF(J6="",IF(L6="",IF(N6="","","Gesamt-umsatz"),"Gesamt-umsatz"),"Gesamt-umsatz")</f>
        <v/>
      </c>
      <c r="T5" s="198"/>
      <c r="U5" s="198"/>
      <c r="V5" s="333" t="s">
        <v>327</v>
      </c>
      <c r="W5" s="198"/>
      <c r="X5" s="350" t="str">
        <f>IF(Bedienungsanleitungen!E3=TRUE,Bedienungsanleitungen!E5,IF(Bedienungsanleitungen!B3=TRUE,Bedienungsanleitungen!A5,""))</f>
        <v/>
      </c>
      <c r="Y5" s="198"/>
      <c r="Z5" s="198"/>
      <c r="AA5" s="198"/>
      <c r="AB5" s="198"/>
      <c r="AC5" s="198"/>
      <c r="AD5" s="198"/>
      <c r="AE5" s="198"/>
      <c r="AF5" s="198"/>
      <c r="AG5" s="198"/>
      <c r="AH5" s="198"/>
      <c r="AI5" s="198"/>
      <c r="AJ5" s="198"/>
      <c r="AK5" s="198"/>
    </row>
    <row r="6" spans="1:38" x14ac:dyDescent="0.25">
      <c r="A6" s="198"/>
      <c r="C6" t="str">
        <f>IF(F6="","Bitte Einheitswert eingeben","Einheitswert")</f>
        <v>Bitte Einheitswert eingeben</v>
      </c>
      <c r="E6" s="291" t="s">
        <v>262</v>
      </c>
      <c r="F6" s="290"/>
      <c r="G6" s="122"/>
      <c r="I6" s="291" t="s">
        <v>263</v>
      </c>
      <c r="J6" s="316"/>
      <c r="K6" s="293" t="s">
        <v>264</v>
      </c>
      <c r="L6" s="316"/>
      <c r="M6" s="293" t="s">
        <v>265</v>
      </c>
      <c r="N6" s="292"/>
      <c r="P6" s="2" t="str">
        <f>IF(P5="","",J6+L6+N6)</f>
        <v/>
      </c>
      <c r="T6" s="198"/>
      <c r="U6" s="198"/>
      <c r="V6" s="301"/>
      <c r="W6" s="198"/>
      <c r="X6" s="350"/>
      <c r="Y6" s="198"/>
      <c r="Z6" s="198"/>
      <c r="AA6" s="198"/>
      <c r="AB6" s="198"/>
      <c r="AC6" s="198"/>
      <c r="AD6" s="198"/>
      <c r="AE6" s="198"/>
      <c r="AF6" s="198"/>
      <c r="AG6" s="198"/>
      <c r="AH6" s="198"/>
      <c r="AI6" s="198"/>
      <c r="AJ6" s="198"/>
      <c r="AK6" s="198"/>
    </row>
    <row r="7" spans="1:38" x14ac:dyDescent="0.25">
      <c r="A7" s="198"/>
      <c r="F7" s="124" t="str">
        <f>IF(F6="","",IF('Verknüpfungen 1'!E19=FALSE,"Zahl eigeben!",""))</f>
        <v/>
      </c>
      <c r="J7" s="315" t="str">
        <f>IF(J6="","",IF(F6="","Einheitswert eingeben!",IF('Verknüpfungen 1'!A19=FALSE,"Zahl eigeben!","")))</f>
        <v/>
      </c>
      <c r="K7" s="8"/>
      <c r="L7" s="315" t="str">
        <f>IF(L6="","",IF(F6="","Einheitswert eingeben!",IF('Verknüpfungen 1'!A20=FALSE,"Zahl eigeben!","")))</f>
        <v/>
      </c>
      <c r="M7" s="8"/>
      <c r="N7" s="315" t="str">
        <f>IF(N6="","",IF(F6="","Einheitswert eingeben!",IF('Verknüpfungen 1'!A21=FALSE,"Zahl eigeben!","")))</f>
        <v/>
      </c>
      <c r="T7" s="198"/>
      <c r="U7" s="198"/>
      <c r="V7" s="302"/>
      <c r="W7" s="198"/>
      <c r="X7" s="350"/>
      <c r="Y7" s="198"/>
      <c r="Z7" s="198"/>
      <c r="AA7" s="198"/>
      <c r="AB7" s="198"/>
      <c r="AC7" s="198"/>
      <c r="AD7" s="198"/>
      <c r="AE7" s="198"/>
      <c r="AF7" s="198"/>
      <c r="AG7" s="198"/>
      <c r="AH7" s="198"/>
      <c r="AI7" s="198"/>
      <c r="AJ7" s="198"/>
      <c r="AK7" s="198"/>
    </row>
    <row r="8" spans="1:38" ht="15.9" customHeight="1" x14ac:dyDescent="0.25">
      <c r="A8" s="198"/>
      <c r="C8" t="s">
        <v>119</v>
      </c>
      <c r="E8" s="294" t="s">
        <v>266</v>
      </c>
      <c r="L8" s="356" t="s">
        <v>125</v>
      </c>
      <c r="M8" s="356"/>
      <c r="N8" s="356"/>
      <c r="O8" s="356"/>
      <c r="P8" s="356"/>
      <c r="Q8" s="356"/>
      <c r="R8" s="356"/>
      <c r="T8" s="198"/>
      <c r="U8" s="198"/>
      <c r="V8" s="301" t="s">
        <v>256</v>
      </c>
      <c r="W8" s="198"/>
      <c r="X8" s="350"/>
      <c r="Y8" s="198"/>
      <c r="Z8" s="198"/>
      <c r="AA8" s="198"/>
      <c r="AB8" s="198"/>
      <c r="AC8" s="198"/>
      <c r="AD8" s="198"/>
      <c r="AE8" s="198"/>
      <c r="AF8" s="198"/>
      <c r="AG8" s="198"/>
      <c r="AH8" s="198"/>
      <c r="AI8" s="198"/>
      <c r="AJ8" s="198"/>
      <c r="AK8" s="198"/>
    </row>
    <row r="9" spans="1:38" ht="15.9" customHeight="1" x14ac:dyDescent="0.25">
      <c r="A9" s="198"/>
      <c r="N9" s="294" t="s">
        <v>267</v>
      </c>
      <c r="P9">
        <f>IF(F6="",1,'Verknüpfungen 1'!H7)</f>
        <v>1</v>
      </c>
      <c r="T9" s="198"/>
      <c r="U9" s="198"/>
      <c r="V9" s="302"/>
      <c r="W9" s="198"/>
      <c r="X9" s="350"/>
      <c r="Y9" s="198"/>
      <c r="Z9" s="198"/>
      <c r="AA9" s="198"/>
      <c r="AB9" s="198"/>
      <c r="AC9" s="198"/>
      <c r="AD9" s="198"/>
      <c r="AE9" s="198"/>
      <c r="AF9" s="198"/>
      <c r="AG9" s="198"/>
      <c r="AH9" s="198"/>
      <c r="AI9" s="198"/>
      <c r="AJ9" s="198"/>
      <c r="AK9" s="198"/>
    </row>
    <row r="10" spans="1:38" ht="9" customHeight="1" x14ac:dyDescent="0.25">
      <c r="A10" s="198"/>
      <c r="T10" s="198"/>
      <c r="U10" s="198"/>
      <c r="V10" s="352" t="s">
        <v>257</v>
      </c>
      <c r="W10" s="198"/>
      <c r="X10" s="350"/>
      <c r="Y10" s="198"/>
      <c r="Z10" s="198"/>
      <c r="AA10" s="198"/>
      <c r="AB10" s="198"/>
      <c r="AC10" s="198"/>
      <c r="AD10" s="198"/>
      <c r="AE10" s="198"/>
      <c r="AF10" s="198"/>
      <c r="AG10" s="198"/>
      <c r="AH10" s="198"/>
      <c r="AI10" s="198"/>
      <c r="AJ10" s="198"/>
      <c r="AK10" s="198"/>
    </row>
    <row r="11" spans="1:38" x14ac:dyDescent="0.25">
      <c r="A11" s="198"/>
      <c r="H11" s="353" t="str">
        <f>IF('Verknüpfungen 1'!H1=2,"Ehegatte 1",IF('Verknüpfungen 1'!H1=3,"Ehegatte 1",IF('Verknüpfungen 1'!H1=4,"Betriebsführer 1","")))</f>
        <v/>
      </c>
      <c r="I11" s="353"/>
      <c r="J11" s="353"/>
      <c r="L11" s="353" t="str">
        <f>IF('Verknüpfungen 1'!H1=2,"Ehegatte 2",IF('Verknüpfungen 1'!H1=3,"Ehegatte 2",IF('Verknüpfungen 1'!H1=4,"Betriebsführer 2","")))</f>
        <v/>
      </c>
      <c r="M11" s="353"/>
      <c r="N11" s="353"/>
      <c r="P11" s="353" t="str">
        <f>IF(L11="","","zusammen")</f>
        <v/>
      </c>
      <c r="Q11" s="353"/>
      <c r="R11" s="353"/>
      <c r="T11" s="198"/>
      <c r="U11" s="198"/>
      <c r="V11" s="352"/>
      <c r="W11" s="198"/>
      <c r="X11" s="350"/>
      <c r="Y11" s="198"/>
      <c r="Z11" s="198"/>
      <c r="AA11" s="198"/>
      <c r="AB11" s="198"/>
      <c r="AC11" s="198"/>
      <c r="AD11" s="198"/>
      <c r="AE11" s="198"/>
      <c r="AF11" s="198"/>
      <c r="AG11" s="198"/>
      <c r="AH11" s="198"/>
      <c r="AI11" s="198"/>
      <c r="AJ11" s="198"/>
      <c r="AK11" s="198"/>
    </row>
    <row r="12" spans="1:38" x14ac:dyDescent="0.25">
      <c r="A12" s="198"/>
      <c r="C12" s="200"/>
      <c r="D12" s="200"/>
      <c r="E12" s="200"/>
      <c r="F12" s="201" t="str">
        <f>IF($F$6="","","Beitrags-")</f>
        <v/>
      </c>
      <c r="G12" s="201"/>
      <c r="H12" s="201" t="str">
        <f>IF($F$6="","","Beitrags-")</f>
        <v/>
      </c>
      <c r="I12" s="201"/>
      <c r="J12" s="201" t="str">
        <f>IF($F$6="","","monatlicher")</f>
        <v/>
      </c>
      <c r="K12" s="200"/>
      <c r="L12" s="201" t="str">
        <f>IF($F$6="","",IF('Verknüpfungen 1'!H1=1,"Beitrag","Beitrags-"))</f>
        <v/>
      </c>
      <c r="N12" s="201" t="str">
        <f>IF($F$6="","",IF('Verknüpfungen 1'!$H$1=1,"","monatlicher"))</f>
        <v/>
      </c>
      <c r="O12" s="200"/>
      <c r="P12" s="201" t="str">
        <f>IF($F$6="","",IF('Verknüpfungen 1'!$H$1=1,"","monatlicher"))</f>
        <v/>
      </c>
      <c r="Q12" s="200"/>
      <c r="R12" s="201" t="str">
        <f>IF($F$6="","",IF('Verknüpfungen 1'!$H$1=1,"","pro"))</f>
        <v/>
      </c>
      <c r="T12" s="198"/>
      <c r="U12" s="198"/>
      <c r="V12" s="303"/>
      <c r="W12" s="198"/>
      <c r="X12" s="350"/>
      <c r="Y12" s="198"/>
      <c r="Z12" s="198"/>
      <c r="AA12" s="198"/>
      <c r="AB12" s="198"/>
      <c r="AC12" s="198"/>
      <c r="AD12" s="198"/>
      <c r="AE12" s="198"/>
      <c r="AF12" s="198"/>
      <c r="AG12" s="198"/>
      <c r="AH12" s="198"/>
      <c r="AI12" s="198"/>
      <c r="AJ12" s="198"/>
      <c r="AK12" s="198"/>
    </row>
    <row r="13" spans="1:38" x14ac:dyDescent="0.25">
      <c r="A13" s="198"/>
      <c r="C13" s="200"/>
      <c r="D13" s="200"/>
      <c r="E13" s="200"/>
      <c r="F13" s="201" t="str">
        <f>IF($F$6="","","satz")</f>
        <v/>
      </c>
      <c r="G13" s="201"/>
      <c r="H13" s="201" t="str">
        <f>IF($F$6="","","grundlage")</f>
        <v/>
      </c>
      <c r="I13" s="201"/>
      <c r="J13" s="201" t="str">
        <f>IF($F$6="","","Beitrag")</f>
        <v/>
      </c>
      <c r="K13" s="200"/>
      <c r="L13" s="201" t="str">
        <f>IF($F$6="","",IF('Verknüpfungen 1'!H1=1,"pro Quartal","grundlage"))</f>
        <v/>
      </c>
      <c r="N13" s="201" t="str">
        <f>IF($F$6="","",IF('Verknüpfungen 1'!$H$1=1,"","Beitrag"))</f>
        <v/>
      </c>
      <c r="O13" s="200"/>
      <c r="P13" s="201" t="str">
        <f>IF($F$6="","",IF('Verknüpfungen 1'!$H$1=1,"","Beitrag"))</f>
        <v/>
      </c>
      <c r="Q13" s="200"/>
      <c r="R13" s="201" t="str">
        <f>IF($F$6="","",IF('Verknüpfungen 1'!$H$1=1,"","Quartal"))</f>
        <v/>
      </c>
      <c r="T13" s="198"/>
      <c r="U13" s="198"/>
      <c r="V13" s="355" t="s">
        <v>295</v>
      </c>
      <c r="W13" s="198"/>
      <c r="X13" s="350"/>
      <c r="Y13" s="198"/>
      <c r="Z13" s="198"/>
      <c r="AA13" s="198"/>
      <c r="AB13" s="198"/>
      <c r="AC13" s="198"/>
      <c r="AD13" s="198"/>
      <c r="AE13" s="198"/>
      <c r="AF13" s="198"/>
      <c r="AG13" s="198"/>
      <c r="AH13" s="198"/>
      <c r="AI13" s="198"/>
      <c r="AJ13" s="198"/>
      <c r="AK13" s="198"/>
    </row>
    <row r="14" spans="1:38" ht="3" customHeight="1" x14ac:dyDescent="0.25">
      <c r="A14" s="198"/>
      <c r="C14" s="200"/>
      <c r="D14" s="200"/>
      <c r="E14" s="200"/>
      <c r="F14" s="201"/>
      <c r="G14" s="201"/>
      <c r="H14" s="201"/>
      <c r="I14" s="201"/>
      <c r="J14" s="201"/>
      <c r="K14" s="200"/>
      <c r="L14" s="200"/>
      <c r="N14" s="200"/>
      <c r="O14" s="200"/>
      <c r="P14" s="200"/>
      <c r="Q14" s="200"/>
      <c r="R14" s="200"/>
      <c r="T14" s="198"/>
      <c r="U14" s="198"/>
      <c r="V14" s="352"/>
      <c r="W14" s="198"/>
      <c r="X14" s="350"/>
      <c r="Y14" s="198"/>
      <c r="Z14" s="198"/>
      <c r="AA14" s="198"/>
      <c r="AB14" s="198"/>
      <c r="AC14" s="198"/>
      <c r="AD14" s="198"/>
      <c r="AE14" s="198"/>
      <c r="AF14" s="198"/>
      <c r="AG14" s="198"/>
      <c r="AH14" s="198"/>
      <c r="AI14" s="198"/>
      <c r="AJ14" s="198"/>
      <c r="AK14" s="198"/>
    </row>
    <row r="15" spans="1:38" x14ac:dyDescent="0.25">
      <c r="A15" s="198"/>
      <c r="C15" s="202" t="str">
        <f>IF($F$6="","","Unfallversicherung")</f>
        <v/>
      </c>
      <c r="D15" s="201"/>
      <c r="E15" s="200"/>
      <c r="F15" s="203" t="str">
        <f>IF('Internetfenster 1'!F$6="","",Beitragsberechnung!$B$15)</f>
        <v/>
      </c>
      <c r="G15" s="200"/>
      <c r="H15" s="204" t="str">
        <f>IF(Beitragsberechnung!$C$15="","",Beitragsberechnung!$C$15)</f>
        <v/>
      </c>
      <c r="I15" s="201"/>
      <c r="J15" s="204" t="str">
        <f>IF(Beitragsberechnung!$D$15="","",Beitragsberechnung!$D$15)</f>
        <v/>
      </c>
      <c r="K15" s="201"/>
      <c r="L15" s="204" t="str">
        <f>IF(J15="","",IF('Verknüpfungen 1'!$H$1=1,J15*3,Beitragsberechnung!E15))</f>
        <v/>
      </c>
      <c r="M15" s="123"/>
      <c r="N15" s="204" t="str">
        <f>IF(L11="","",0)</f>
        <v/>
      </c>
      <c r="O15" s="205"/>
      <c r="P15" s="204" t="str">
        <f>IF($L$11="","",J15+N15)</f>
        <v/>
      </c>
      <c r="Q15" s="205"/>
      <c r="R15" s="204" t="str">
        <f>IF($L$11="","",P15*3)</f>
        <v/>
      </c>
      <c r="T15" s="198"/>
      <c r="U15" s="198"/>
      <c r="V15" s="352"/>
      <c r="W15" s="198"/>
      <c r="X15" s="350"/>
      <c r="Y15" s="198"/>
      <c r="Z15" s="198"/>
      <c r="AA15" s="198"/>
      <c r="AB15" s="198"/>
      <c r="AC15" s="198"/>
      <c r="AD15" s="198"/>
      <c r="AE15" s="198"/>
      <c r="AF15" s="198"/>
      <c r="AG15" s="198"/>
      <c r="AH15" s="198"/>
      <c r="AI15" s="198"/>
      <c r="AJ15" s="198"/>
      <c r="AK15" s="198"/>
    </row>
    <row r="16" spans="1:38" ht="3" customHeight="1" x14ac:dyDescent="0.25">
      <c r="A16" s="198"/>
      <c r="C16" s="200"/>
      <c r="D16" s="200"/>
      <c r="E16" s="200"/>
      <c r="F16" s="203"/>
      <c r="G16" s="200"/>
      <c r="H16" s="201"/>
      <c r="I16" s="201"/>
      <c r="J16" s="204"/>
      <c r="K16" s="201"/>
      <c r="L16" s="204"/>
      <c r="M16" s="123"/>
      <c r="N16" s="204"/>
      <c r="O16" s="205"/>
      <c r="P16" s="204"/>
      <c r="Q16" s="205"/>
      <c r="R16" s="204"/>
      <c r="T16" s="198"/>
      <c r="U16" s="198"/>
      <c r="V16" s="303"/>
      <c r="W16" s="198"/>
      <c r="X16" s="350"/>
      <c r="Y16" s="198"/>
      <c r="Z16" s="198"/>
      <c r="AA16" s="198"/>
      <c r="AB16" s="198"/>
      <c r="AC16" s="198"/>
      <c r="AD16" s="198"/>
      <c r="AE16" s="198"/>
      <c r="AF16" s="198"/>
      <c r="AG16" s="198"/>
      <c r="AH16" s="198"/>
      <c r="AI16" s="198"/>
      <c r="AJ16" s="198"/>
      <c r="AK16" s="198"/>
    </row>
    <row r="17" spans="1:37" x14ac:dyDescent="0.25">
      <c r="A17" s="198"/>
      <c r="C17" s="202" t="str">
        <f>IF($F$6="","","Krankenversicherung")</f>
        <v/>
      </c>
      <c r="D17" s="201"/>
      <c r="E17" s="200"/>
      <c r="F17" s="203" t="str">
        <f>IF('Internetfenster 1'!F$6="","",Beitragsberechnung!$B$16)</f>
        <v/>
      </c>
      <c r="G17" s="200"/>
      <c r="H17" s="204" t="str">
        <f>IF(Beitragsberechnung!$C$16="","",Beitragsberechnung!$C$16)</f>
        <v/>
      </c>
      <c r="I17" s="201"/>
      <c r="J17" s="204" t="str">
        <f>IF(Beitragsberechnung!$D$16="","",Beitragsberechnung!$D$16)</f>
        <v/>
      </c>
      <c r="K17" s="201"/>
      <c r="L17" s="204" t="str">
        <f>IF(J17="","",IF('Verknüpfungen 1'!$H$1=1,J17*3,Beitragsberechnung!E16))</f>
        <v/>
      </c>
      <c r="M17" s="123"/>
      <c r="N17" s="204" t="str">
        <f>IF(L11="","",Beitragsberechnung!F16)</f>
        <v/>
      </c>
      <c r="O17" s="205"/>
      <c r="P17" s="204" t="str">
        <f>IF($L$11="","",J17+N17)</f>
        <v/>
      </c>
      <c r="Q17" s="205"/>
      <c r="R17" s="204" t="str">
        <f>IF($L$11="","",P17*3)</f>
        <v/>
      </c>
      <c r="T17" s="198"/>
      <c r="U17" s="198"/>
      <c r="V17" s="301"/>
      <c r="W17" s="198"/>
      <c r="X17" s="350"/>
      <c r="Y17" s="198"/>
      <c r="Z17" s="198"/>
      <c r="AA17" s="198"/>
      <c r="AB17" s="198"/>
      <c r="AC17" s="198"/>
      <c r="AD17" s="198"/>
      <c r="AE17" s="198"/>
      <c r="AF17" s="198"/>
      <c r="AG17" s="198"/>
      <c r="AH17" s="198"/>
      <c r="AI17" s="198"/>
      <c r="AJ17" s="198"/>
      <c r="AK17" s="198"/>
    </row>
    <row r="18" spans="1:37" ht="3" customHeight="1" x14ac:dyDescent="0.25">
      <c r="A18" s="198"/>
      <c r="C18" s="200"/>
      <c r="D18" s="200"/>
      <c r="E18" s="200"/>
      <c r="F18" s="203"/>
      <c r="G18" s="200"/>
      <c r="H18" s="201"/>
      <c r="I18" s="201"/>
      <c r="J18" s="204"/>
      <c r="K18" s="201"/>
      <c r="L18" s="204"/>
      <c r="M18" s="123"/>
      <c r="N18" s="205"/>
      <c r="O18" s="205"/>
      <c r="P18" s="205"/>
      <c r="Q18" s="205"/>
      <c r="R18" s="205"/>
      <c r="T18" s="198"/>
      <c r="U18" s="198"/>
      <c r="V18" s="303"/>
      <c r="W18" s="198"/>
      <c r="X18" s="350"/>
      <c r="Y18" s="198"/>
      <c r="Z18" s="198"/>
      <c r="AA18" s="198"/>
      <c r="AB18" s="198"/>
      <c r="AC18" s="198"/>
      <c r="AD18" s="198"/>
      <c r="AE18" s="198"/>
      <c r="AF18" s="198"/>
      <c r="AG18" s="198"/>
      <c r="AH18" s="198"/>
      <c r="AI18" s="198"/>
      <c r="AJ18" s="198"/>
      <c r="AK18" s="198"/>
    </row>
    <row r="19" spans="1:37" x14ac:dyDescent="0.25">
      <c r="A19" s="198"/>
      <c r="C19" s="202" t="str">
        <f>IF($F$6="","","Pensionsversicherung")</f>
        <v/>
      </c>
      <c r="D19" s="201"/>
      <c r="E19" s="200"/>
      <c r="F19" s="203" t="str">
        <f>IF('Internetfenster 1'!F$6="","",Beitragsberechnung!$B$17)</f>
        <v/>
      </c>
      <c r="G19" s="200"/>
      <c r="H19" s="204" t="str">
        <f>IF(Beitragsberechnung!$C$17="","",Beitragsberechnung!$C$17)</f>
        <v/>
      </c>
      <c r="I19" s="201"/>
      <c r="J19" s="204" t="str">
        <f>IF(Beitragsberechnung!$D$17="","",Beitragsberechnung!$D$17)</f>
        <v/>
      </c>
      <c r="K19" s="201"/>
      <c r="L19" s="204" t="str">
        <f>IF(J19="","",IF('Verknüpfungen 1'!$H$1=1,J19*3,Beitragsberechnung!E17))</f>
        <v/>
      </c>
      <c r="M19" s="123"/>
      <c r="N19" s="204" t="str">
        <f>IF(L11="","",Beitragsberechnung!F17)</f>
        <v/>
      </c>
      <c r="O19" s="205"/>
      <c r="P19" s="204" t="str">
        <f>IF($L$11="","",J19+N19)</f>
        <v/>
      </c>
      <c r="Q19" s="205"/>
      <c r="R19" s="204" t="str">
        <f>IF($L$11="","",P19*3)</f>
        <v/>
      </c>
      <c r="T19" s="198"/>
      <c r="U19" s="198"/>
      <c r="V19" s="355" t="s">
        <v>287</v>
      </c>
      <c r="W19" s="198"/>
      <c r="X19" s="350"/>
      <c r="Y19" s="198"/>
      <c r="Z19" s="198"/>
      <c r="AA19" s="198"/>
      <c r="AB19" s="198"/>
      <c r="AC19" s="198"/>
      <c r="AD19" s="198"/>
      <c r="AE19" s="198"/>
      <c r="AF19" s="198"/>
      <c r="AG19" s="198"/>
      <c r="AH19" s="198"/>
      <c r="AI19" s="198"/>
      <c r="AJ19" s="198"/>
      <c r="AK19" s="198"/>
    </row>
    <row r="20" spans="1:37" ht="3" customHeight="1" x14ac:dyDescent="0.25">
      <c r="A20" s="198"/>
      <c r="C20" s="200"/>
      <c r="D20" s="200"/>
      <c r="E20" s="200"/>
      <c r="F20" s="200"/>
      <c r="G20" s="200"/>
      <c r="H20" s="201"/>
      <c r="I20" s="201"/>
      <c r="J20" s="204"/>
      <c r="K20" s="201"/>
      <c r="L20" s="204"/>
      <c r="M20" s="123"/>
      <c r="N20" s="204"/>
      <c r="O20" s="205"/>
      <c r="P20" s="204"/>
      <c r="Q20" s="205"/>
      <c r="R20" s="204"/>
      <c r="T20" s="198"/>
      <c r="U20" s="198"/>
      <c r="V20" s="352"/>
      <c r="W20" s="198"/>
      <c r="X20" s="350"/>
      <c r="Y20" s="198"/>
      <c r="Z20" s="198"/>
      <c r="AA20" s="198"/>
      <c r="AB20" s="198"/>
      <c r="AC20" s="198"/>
      <c r="AD20" s="198"/>
      <c r="AE20" s="198"/>
      <c r="AF20" s="198"/>
      <c r="AG20" s="198"/>
      <c r="AH20" s="198"/>
      <c r="AI20" s="198"/>
      <c r="AJ20" s="198"/>
      <c r="AK20" s="198"/>
    </row>
    <row r="21" spans="1:37" x14ac:dyDescent="0.25">
      <c r="A21" s="198"/>
      <c r="C21" s="202" t="str">
        <f>IF($F$6="","","gesamter Beitrag")</f>
        <v/>
      </c>
      <c r="D21" s="201"/>
      <c r="E21" s="201"/>
      <c r="F21" s="201"/>
      <c r="G21" s="201"/>
      <c r="H21" s="201"/>
      <c r="I21" s="201"/>
      <c r="J21" s="204" t="str">
        <f>IF(Beitragsberechnung!$D$18="","",Beitragsberechnung!$D$18)</f>
        <v/>
      </c>
      <c r="K21" s="201"/>
      <c r="L21" s="204" t="str">
        <f>IF(J21="","",IF('Verknüpfungen 1'!$H$1=1,J21*3,""))</f>
        <v/>
      </c>
      <c r="M21" s="2"/>
      <c r="N21" s="204" t="str">
        <f>IF(L11="","",Beitragsberechnung!F18)</f>
        <v/>
      </c>
      <c r="O21" s="204"/>
      <c r="P21" s="204" t="str">
        <f>IF($L$11="","",J21+N21)</f>
        <v/>
      </c>
      <c r="Q21" s="204"/>
      <c r="R21" s="204" t="str">
        <f>IF($L$11="","",P21*3)</f>
        <v/>
      </c>
      <c r="T21" s="198"/>
      <c r="U21" s="198"/>
      <c r="V21" s="352"/>
      <c r="W21" s="198"/>
      <c r="X21" s="350"/>
      <c r="Y21" s="198"/>
      <c r="Z21" s="198"/>
      <c r="AA21" s="198"/>
      <c r="AB21" s="198"/>
      <c r="AC21" s="198"/>
      <c r="AD21" s="198"/>
      <c r="AE21" s="198"/>
      <c r="AF21" s="198"/>
      <c r="AG21" s="198"/>
      <c r="AH21" s="198"/>
      <c r="AI21" s="198"/>
      <c r="AJ21" s="198"/>
      <c r="AK21" s="198"/>
    </row>
    <row r="22" spans="1:37" x14ac:dyDescent="0.25">
      <c r="A22" s="198"/>
      <c r="T22" s="198"/>
      <c r="U22" s="198"/>
      <c r="V22" s="301"/>
      <c r="W22" s="198"/>
      <c r="X22" s="350"/>
      <c r="Y22" s="198"/>
      <c r="Z22" s="198"/>
      <c r="AA22" s="198"/>
      <c r="AB22" s="198"/>
      <c r="AC22" s="198"/>
      <c r="AD22" s="198"/>
      <c r="AE22" s="198"/>
      <c r="AF22" s="198"/>
      <c r="AG22" s="198"/>
      <c r="AH22" s="198"/>
      <c r="AI22" s="198"/>
      <c r="AJ22" s="198"/>
      <c r="AK22" s="198"/>
    </row>
    <row r="23" spans="1:37" x14ac:dyDescent="0.25">
      <c r="A23" s="198"/>
      <c r="T23" s="198"/>
      <c r="U23" s="198"/>
      <c r="V23" s="301" t="s">
        <v>293</v>
      </c>
      <c r="W23" s="198"/>
      <c r="X23" s="350"/>
      <c r="Y23" s="198"/>
      <c r="Z23" s="198"/>
      <c r="AA23" s="198"/>
      <c r="AB23" s="198"/>
      <c r="AC23" s="198"/>
      <c r="AD23" s="198"/>
      <c r="AE23" s="198"/>
      <c r="AF23" s="198"/>
      <c r="AG23" s="198"/>
      <c r="AH23" s="198"/>
      <c r="AI23" s="198"/>
      <c r="AJ23" s="198"/>
      <c r="AK23" s="198"/>
    </row>
    <row r="24" spans="1:37" ht="14.25" customHeight="1" x14ac:dyDescent="0.25">
      <c r="A24" s="198"/>
      <c r="C24" s="129" t="str">
        <f>IF('Verknüpfungen 1'!H7&gt;1,"Zusätzliche Beiträge für "&amp;'Verknüpfungen 1'!I14,"")&amp;IF('Verknüpfungen 1'!H7=1,"",":")</f>
        <v>Zusätzliche Beiträge für hauptberuflich beschäftigtes Kind:</v>
      </c>
      <c r="D24" s="129"/>
      <c r="E24" s="129"/>
      <c r="F24" s="129"/>
      <c r="G24" s="129"/>
      <c r="H24" s="129"/>
      <c r="I24" s="129"/>
      <c r="J24" s="129"/>
      <c r="K24" s="129"/>
      <c r="L24" s="129"/>
      <c r="T24" s="198"/>
      <c r="U24" s="198"/>
      <c r="V24" s="310"/>
      <c r="W24" s="198"/>
      <c r="X24" s="350"/>
      <c r="Y24" s="198"/>
      <c r="Z24" s="198"/>
      <c r="AA24" s="198"/>
      <c r="AB24" s="198"/>
      <c r="AC24" s="198"/>
      <c r="AD24" s="198"/>
      <c r="AE24" s="198"/>
      <c r="AF24" s="198"/>
      <c r="AG24" s="198"/>
      <c r="AH24" s="198"/>
      <c r="AI24" s="198"/>
      <c r="AJ24" s="198"/>
      <c r="AK24" s="198"/>
    </row>
    <row r="25" spans="1:37" ht="3.75" customHeight="1" x14ac:dyDescent="0.25">
      <c r="A25" s="198"/>
      <c r="T25" s="198"/>
      <c r="U25" s="198"/>
      <c r="V25" s="310"/>
      <c r="W25" s="198"/>
      <c r="X25" s="350"/>
      <c r="Y25" s="198"/>
      <c r="Z25" s="198"/>
      <c r="AA25" s="198"/>
      <c r="AB25" s="198"/>
      <c r="AC25" s="198"/>
      <c r="AD25" s="198"/>
      <c r="AE25" s="198"/>
      <c r="AF25" s="198"/>
      <c r="AG25" s="198"/>
      <c r="AH25" s="198"/>
      <c r="AI25" s="198"/>
      <c r="AJ25" s="198"/>
      <c r="AK25" s="198"/>
    </row>
    <row r="26" spans="1:37" x14ac:dyDescent="0.25">
      <c r="A26" s="198"/>
      <c r="H26" s="353" t="str">
        <f>IF('Verknüpfungen 1'!H7=3,"Kind","")</f>
        <v/>
      </c>
      <c r="I26" s="353"/>
      <c r="J26" s="353"/>
      <c r="L26" s="353" t="str">
        <f>IF(H26="","","Schwiegerkind")</f>
        <v/>
      </c>
      <c r="M26" s="353"/>
      <c r="N26" s="353"/>
      <c r="P26" s="353" t="str">
        <f>IF(L26="","","zusammen")</f>
        <v/>
      </c>
      <c r="Q26" s="353"/>
      <c r="R26" s="353"/>
      <c r="T26" s="198"/>
      <c r="U26" s="198"/>
      <c r="V26" s="301" t="s">
        <v>258</v>
      </c>
      <c r="W26" s="198"/>
      <c r="X26" s="350"/>
      <c r="Y26" s="198"/>
      <c r="Z26" s="198"/>
      <c r="AA26" s="198"/>
      <c r="AB26" s="198"/>
      <c r="AC26" s="198"/>
      <c r="AD26" s="198"/>
      <c r="AE26" s="198"/>
      <c r="AF26" s="198"/>
      <c r="AG26" s="198"/>
      <c r="AH26" s="198"/>
      <c r="AI26" s="198"/>
      <c r="AJ26" s="198"/>
      <c r="AK26" s="198"/>
    </row>
    <row r="27" spans="1:37" s="1" customFormat="1" x14ac:dyDescent="0.25">
      <c r="A27" s="199"/>
      <c r="C27" s="201"/>
      <c r="D27" s="201"/>
      <c r="E27" s="201"/>
      <c r="F27" s="201" t="str">
        <f>IF($P$9=1,"","Beitrags-")</f>
        <v/>
      </c>
      <c r="G27" s="201"/>
      <c r="H27" s="201" t="str">
        <f>IF($P$9=1,"","Beitrags-")</f>
        <v/>
      </c>
      <c r="I27" s="201"/>
      <c r="J27" s="201" t="str">
        <f>IF($P$9=1,"","monatlicher")</f>
        <v/>
      </c>
      <c r="K27" s="201"/>
      <c r="L27" s="201" t="str">
        <f>IF($P$9=1,"",IF($P$9=3,"Beitrags-","Beitrag"))</f>
        <v/>
      </c>
      <c r="M27" s="130"/>
      <c r="N27" s="201" t="str">
        <f>IF(F6="","",IF('Verknüpfungen 1'!$H$7=3,"monatlicher",""))</f>
        <v/>
      </c>
      <c r="O27" s="201"/>
      <c r="P27" s="201" t="str">
        <f>N27</f>
        <v/>
      </c>
      <c r="Q27" s="201"/>
      <c r="R27" s="201" t="str">
        <f>IF(N27="","","pro")</f>
        <v/>
      </c>
      <c r="T27" s="199"/>
      <c r="U27" s="199"/>
      <c r="V27" s="304"/>
      <c r="W27" s="199"/>
      <c r="X27" s="350"/>
      <c r="Y27" s="199"/>
      <c r="Z27" s="199"/>
      <c r="AA27" s="199"/>
      <c r="AB27" s="199"/>
      <c r="AC27" s="199"/>
      <c r="AD27" s="199"/>
      <c r="AE27" s="199"/>
      <c r="AF27" s="199"/>
      <c r="AG27" s="199"/>
      <c r="AH27" s="199"/>
      <c r="AI27" s="199"/>
      <c r="AJ27" s="199"/>
      <c r="AK27" s="199"/>
    </row>
    <row r="28" spans="1:37" s="1" customFormat="1" ht="14.25" customHeight="1" x14ac:dyDescent="0.25">
      <c r="A28" s="199"/>
      <c r="C28" s="201"/>
      <c r="D28" s="201"/>
      <c r="E28" s="201"/>
      <c r="F28" s="201" t="str">
        <f>IF($P$9=1,"","satz")</f>
        <v/>
      </c>
      <c r="G28" s="201"/>
      <c r="H28" s="201" t="str">
        <f>IF($P$9=1,"","grundlage")</f>
        <v/>
      </c>
      <c r="I28" s="201"/>
      <c r="J28" s="201" t="str">
        <f>IF($P$9=1,"","Beitrag")</f>
        <v/>
      </c>
      <c r="K28" s="201"/>
      <c r="L28" s="201" t="str">
        <f>IF($P$9=1,"",IF($P$9=3,"grundlage","pro Quartal"))</f>
        <v/>
      </c>
      <c r="M28" s="130"/>
      <c r="N28" s="201" t="str">
        <f>IF(F6="","",IF('Verknüpfungen 1'!$H$7=3,"Beitrag",""))</f>
        <v/>
      </c>
      <c r="O28" s="201"/>
      <c r="P28" s="201" t="str">
        <f>N28</f>
        <v/>
      </c>
      <c r="Q28" s="201"/>
      <c r="R28" s="201" t="str">
        <f>IF(N28="","","Quartal")</f>
        <v/>
      </c>
      <c r="T28" s="199"/>
      <c r="U28" s="199"/>
      <c r="V28" s="301" t="s">
        <v>259</v>
      </c>
      <c r="W28" s="199"/>
      <c r="X28" s="350"/>
      <c r="Y28" s="199"/>
      <c r="Z28" s="199"/>
      <c r="AA28" s="199"/>
      <c r="AB28" s="199"/>
      <c r="AC28" s="199"/>
      <c r="AD28" s="199"/>
      <c r="AE28" s="199"/>
      <c r="AF28" s="199"/>
      <c r="AG28" s="199"/>
      <c r="AH28" s="199"/>
      <c r="AI28" s="199"/>
      <c r="AJ28" s="199"/>
      <c r="AK28" s="199"/>
    </row>
    <row r="29" spans="1:37" ht="3" customHeight="1" x14ac:dyDescent="0.25">
      <c r="A29" s="198"/>
      <c r="C29" s="200"/>
      <c r="D29" s="200"/>
      <c r="E29" s="200"/>
      <c r="F29" s="200"/>
      <c r="G29" s="200"/>
      <c r="H29" s="200"/>
      <c r="I29" s="200"/>
      <c r="J29" s="200"/>
      <c r="K29" s="200"/>
      <c r="L29" s="200"/>
      <c r="M29" s="131"/>
      <c r="N29" s="200"/>
      <c r="O29" s="200"/>
      <c r="P29" s="200"/>
      <c r="Q29" s="200"/>
      <c r="R29" s="200"/>
      <c r="T29" s="198"/>
      <c r="U29" s="198"/>
      <c r="V29" s="310"/>
      <c r="W29" s="198"/>
      <c r="X29" s="350"/>
      <c r="Y29" s="198"/>
      <c r="Z29" s="198"/>
      <c r="AA29" s="198"/>
      <c r="AB29" s="198"/>
      <c r="AC29" s="198"/>
      <c r="AD29" s="198"/>
      <c r="AE29" s="198"/>
      <c r="AF29" s="198"/>
      <c r="AG29" s="198"/>
      <c r="AH29" s="198"/>
      <c r="AI29" s="198"/>
      <c r="AJ29" s="198"/>
      <c r="AK29" s="198"/>
    </row>
    <row r="30" spans="1:37" x14ac:dyDescent="0.25">
      <c r="A30" s="198"/>
      <c r="C30" s="200" t="str">
        <f>IF($P$9=1,"","Krankenversicherung")</f>
        <v/>
      </c>
      <c r="D30" s="200"/>
      <c r="E30" s="200"/>
      <c r="F30" s="203" t="str">
        <f>IF(P9=1,"",Beitragsberechnung!$B$24)</f>
        <v/>
      </c>
      <c r="G30" s="201"/>
      <c r="H30" s="204" t="str">
        <f>IF(F6="","",Beitragsberechnung!$C$24)</f>
        <v/>
      </c>
      <c r="I30" s="204"/>
      <c r="J30" s="204" t="str">
        <f>IF(F6="","",Beitragsberechnung!$D$24)</f>
        <v/>
      </c>
      <c r="K30" s="204"/>
      <c r="L30" s="204" t="str">
        <f>IF(F6="","",IF('Verknüpfungen 1'!H7=3,Beitragsberechnung!$E$24,IF(J30="","",'Internetfenster 1'!J30*3)))</f>
        <v/>
      </c>
      <c r="M30" s="132"/>
      <c r="N30" s="201" t="str">
        <f>IF(F6="","",IF('Verknüpfungen 1'!$H$7=3,Beitragsberechnung!F24,""))</f>
        <v/>
      </c>
      <c r="O30" s="204"/>
      <c r="P30" s="201" t="str">
        <f>IF(N30="","",J30+N30)</f>
        <v/>
      </c>
      <c r="Q30" s="204"/>
      <c r="R30" s="201" t="str">
        <f>IF(P30="","",P30*3)</f>
        <v/>
      </c>
      <c r="T30" s="198"/>
      <c r="U30" s="198"/>
      <c r="V30" s="310"/>
      <c r="W30" s="198"/>
      <c r="X30" s="350"/>
      <c r="Y30" s="198"/>
      <c r="Z30" s="198"/>
      <c r="AA30" s="198"/>
      <c r="AB30" s="198"/>
      <c r="AC30" s="198"/>
      <c r="AD30" s="198"/>
      <c r="AE30" s="198"/>
      <c r="AF30" s="198"/>
      <c r="AG30" s="198"/>
      <c r="AH30" s="198"/>
      <c r="AI30" s="198"/>
      <c r="AJ30" s="198"/>
      <c r="AK30" s="198"/>
    </row>
    <row r="31" spans="1:37" ht="3" customHeight="1" x14ac:dyDescent="0.25">
      <c r="A31" s="198"/>
      <c r="C31" s="200"/>
      <c r="D31" s="200"/>
      <c r="E31" s="200"/>
      <c r="F31" s="203"/>
      <c r="G31" s="201"/>
      <c r="H31" s="204"/>
      <c r="I31" s="204"/>
      <c r="J31" s="204"/>
      <c r="K31" s="204"/>
      <c r="L31" s="204"/>
      <c r="M31" s="132"/>
      <c r="N31" s="204"/>
      <c r="O31" s="204"/>
      <c r="P31" s="204"/>
      <c r="Q31" s="204"/>
      <c r="R31" s="204"/>
      <c r="T31" s="198"/>
      <c r="U31" s="198"/>
      <c r="V31" s="302"/>
      <c r="W31" s="198"/>
      <c r="X31" s="350"/>
      <c r="Y31" s="198"/>
      <c r="Z31" s="198"/>
      <c r="AA31" s="198"/>
      <c r="AB31" s="198"/>
      <c r="AC31" s="198"/>
      <c r="AD31" s="198"/>
      <c r="AE31" s="198"/>
      <c r="AF31" s="198"/>
      <c r="AG31" s="198"/>
      <c r="AH31" s="198"/>
      <c r="AI31" s="198"/>
      <c r="AJ31" s="198"/>
      <c r="AK31" s="198"/>
    </row>
    <row r="32" spans="1:37" ht="14.25" customHeight="1" x14ac:dyDescent="0.25">
      <c r="A32" s="198"/>
      <c r="C32" s="200" t="str">
        <f>IF($P$9=1,"","Pensionsversicherung")</f>
        <v/>
      </c>
      <c r="D32" s="200"/>
      <c r="E32" s="200"/>
      <c r="F32" s="203" t="str">
        <f>IF(P9=1,"",Beitragsberechnung!$B$25)</f>
        <v/>
      </c>
      <c r="G32" s="201"/>
      <c r="H32" s="204" t="str">
        <f>IF(F6="","",Beitragsberechnung!$C$25)</f>
        <v/>
      </c>
      <c r="I32" s="204"/>
      <c r="J32" s="204" t="str">
        <f>IF(F6="","",Beitragsberechnung!$D$25)</f>
        <v/>
      </c>
      <c r="K32" s="204"/>
      <c r="L32" s="204" t="str">
        <f>IF(F6="","",IF('Verknüpfungen 1'!$H$7=3,Beitragsberechnung!$E$25,IF(J32="","",'Internetfenster 1'!J32*3)))</f>
        <v/>
      </c>
      <c r="M32" s="132"/>
      <c r="N32" s="201" t="str">
        <f>IF(F6="","",IF('Verknüpfungen 1'!$H$7=3,Beitragsberechnung!F25,""))</f>
        <v/>
      </c>
      <c r="O32" s="204"/>
      <c r="P32" s="201" t="str">
        <f>IF(N32="","",J32+N32)</f>
        <v/>
      </c>
      <c r="Q32" s="204"/>
      <c r="R32" s="201" t="str">
        <f>IF(P32="","",P32*3)</f>
        <v/>
      </c>
      <c r="T32" s="198"/>
      <c r="U32" s="198"/>
      <c r="V32" s="355" t="s">
        <v>260</v>
      </c>
      <c r="W32" s="198"/>
      <c r="X32" s="350"/>
      <c r="Y32" s="198"/>
      <c r="Z32" s="198"/>
      <c r="AA32" s="198"/>
      <c r="AB32" s="198"/>
      <c r="AC32" s="198"/>
      <c r="AD32" s="198"/>
      <c r="AE32" s="198"/>
      <c r="AF32" s="198"/>
      <c r="AG32" s="198"/>
      <c r="AH32" s="198"/>
      <c r="AI32" s="198"/>
      <c r="AJ32" s="198"/>
      <c r="AK32" s="198"/>
    </row>
    <row r="33" spans="1:37" ht="3" customHeight="1" x14ac:dyDescent="0.25">
      <c r="A33" s="198"/>
      <c r="C33" s="200"/>
      <c r="D33" s="200"/>
      <c r="E33" s="200"/>
      <c r="F33" s="201"/>
      <c r="G33" s="201"/>
      <c r="H33" s="204"/>
      <c r="I33" s="204"/>
      <c r="J33" s="204"/>
      <c r="K33" s="204"/>
      <c r="L33" s="204"/>
      <c r="M33" s="132"/>
      <c r="N33" s="204"/>
      <c r="O33" s="204"/>
      <c r="P33" s="204"/>
      <c r="Q33" s="204"/>
      <c r="R33" s="204"/>
      <c r="T33" s="198"/>
      <c r="U33" s="198"/>
      <c r="V33" s="355"/>
      <c r="W33" s="198"/>
      <c r="X33" s="350"/>
      <c r="Y33" s="198"/>
      <c r="Z33" s="198"/>
      <c r="AA33" s="198"/>
      <c r="AB33" s="198"/>
      <c r="AC33" s="198"/>
      <c r="AD33" s="198"/>
      <c r="AE33" s="198"/>
      <c r="AF33" s="198"/>
      <c r="AG33" s="198"/>
      <c r="AH33" s="198"/>
      <c r="AI33" s="198"/>
      <c r="AJ33" s="198"/>
      <c r="AK33" s="198"/>
    </row>
    <row r="34" spans="1:37" x14ac:dyDescent="0.25">
      <c r="A34" s="198"/>
      <c r="C34" s="200" t="str">
        <f>IF($P$9=1,"","gesamt hbf. Angehöriger")</f>
        <v/>
      </c>
      <c r="D34" s="200"/>
      <c r="E34" s="200"/>
      <c r="F34" s="201"/>
      <c r="G34" s="201"/>
      <c r="H34" s="204"/>
      <c r="I34" s="204"/>
      <c r="J34" s="204" t="str">
        <f>IF(F6="","",Beitragsberechnung!$D$26)</f>
        <v/>
      </c>
      <c r="K34" s="204"/>
      <c r="L34" s="204" t="str">
        <f>IF('Verknüpfungen 1'!$H$7=3,"",IF(J34="","",'Internetfenster 1'!J34*3))</f>
        <v/>
      </c>
      <c r="M34" s="130"/>
      <c r="N34" s="201" t="str">
        <f>IF(F6="","",IF('Verknüpfungen 1'!$H$7=3,Beitragsberechnung!F26,""))</f>
        <v/>
      </c>
      <c r="O34" s="201"/>
      <c r="P34" s="201" t="str">
        <f>IF(N34="","",J34+N34)</f>
        <v/>
      </c>
      <c r="Q34" s="201"/>
      <c r="R34" s="201" t="str">
        <f>IF(P34="","",P34*3)</f>
        <v/>
      </c>
      <c r="T34" s="198"/>
      <c r="U34" s="198"/>
      <c r="V34" s="355"/>
      <c r="W34" s="198"/>
      <c r="X34" s="350"/>
      <c r="Y34" s="198"/>
      <c r="Z34" s="198"/>
      <c r="AA34" s="198"/>
      <c r="AB34" s="198"/>
      <c r="AC34" s="198"/>
      <c r="AD34" s="198"/>
      <c r="AE34" s="198"/>
      <c r="AF34" s="198"/>
      <c r="AG34" s="198"/>
      <c r="AH34" s="198"/>
      <c r="AI34" s="198"/>
      <c r="AJ34" s="198"/>
      <c r="AK34" s="198"/>
    </row>
    <row r="35" spans="1:37" ht="3" customHeight="1" x14ac:dyDescent="0.25">
      <c r="A35" s="198"/>
      <c r="F35" s="1"/>
      <c r="G35" s="1"/>
      <c r="H35" s="1"/>
      <c r="I35" s="1"/>
      <c r="J35" s="1"/>
      <c r="K35" s="1"/>
      <c r="L35" s="1"/>
      <c r="M35" s="1"/>
      <c r="N35" s="1"/>
      <c r="O35" s="1"/>
      <c r="P35" s="1"/>
      <c r="Q35" s="1"/>
      <c r="R35" s="1"/>
      <c r="T35" s="198"/>
      <c r="U35" s="198"/>
      <c r="V35" s="302"/>
      <c r="W35" s="198"/>
      <c r="X35" s="350"/>
      <c r="Y35" s="198"/>
      <c r="Z35" s="198"/>
      <c r="AA35" s="198"/>
      <c r="AB35" s="198"/>
      <c r="AC35" s="198"/>
      <c r="AD35" s="198"/>
      <c r="AE35" s="198"/>
      <c r="AF35" s="198"/>
      <c r="AG35" s="198"/>
      <c r="AH35" s="198"/>
      <c r="AI35" s="198"/>
      <c r="AJ35" s="198"/>
      <c r="AK35" s="198"/>
    </row>
    <row r="36" spans="1:37" x14ac:dyDescent="0.25">
      <c r="A36" s="198"/>
      <c r="T36" s="198"/>
      <c r="U36" s="198"/>
      <c r="V36" s="302"/>
      <c r="W36" s="198"/>
      <c r="X36" s="350"/>
      <c r="Y36" s="198"/>
      <c r="Z36" s="198"/>
      <c r="AA36" s="198"/>
      <c r="AB36" s="198"/>
      <c r="AC36" s="198"/>
      <c r="AD36" s="198"/>
      <c r="AE36" s="198"/>
      <c r="AF36" s="198"/>
      <c r="AG36" s="198"/>
      <c r="AH36" s="198"/>
      <c r="AI36" s="198"/>
      <c r="AJ36" s="198"/>
      <c r="AK36" s="198"/>
    </row>
    <row r="37" spans="1:37" x14ac:dyDescent="0.25">
      <c r="A37" s="198"/>
      <c r="T37" s="198"/>
      <c r="U37" s="198"/>
      <c r="V37" s="302"/>
      <c r="W37" s="198"/>
      <c r="X37" s="350"/>
      <c r="Y37" s="198"/>
      <c r="Z37" s="198"/>
      <c r="AA37" s="198"/>
      <c r="AB37" s="198"/>
      <c r="AC37" s="198"/>
      <c r="AD37" s="198"/>
      <c r="AE37" s="198"/>
      <c r="AF37" s="198"/>
      <c r="AG37" s="198"/>
      <c r="AH37" s="198"/>
      <c r="AI37" s="198"/>
      <c r="AJ37" s="198"/>
      <c r="AK37" s="198"/>
    </row>
    <row r="38" spans="1:37" x14ac:dyDescent="0.25">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295"/>
      <c r="Y38" s="198"/>
      <c r="Z38" s="198"/>
      <c r="AA38" s="198"/>
      <c r="AB38" s="198"/>
      <c r="AC38" s="198"/>
      <c r="AD38" s="198"/>
      <c r="AE38" s="198"/>
      <c r="AF38" s="198"/>
      <c r="AG38" s="198"/>
      <c r="AH38" s="198"/>
      <c r="AI38" s="198"/>
      <c r="AJ38" s="198"/>
      <c r="AK38" s="198"/>
    </row>
    <row r="39" spans="1:37" x14ac:dyDescent="0.25">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295"/>
      <c r="Y39" s="198"/>
      <c r="Z39" s="198"/>
      <c r="AA39" s="198"/>
      <c r="AB39" s="198"/>
      <c r="AC39" s="198"/>
      <c r="AD39" s="198"/>
      <c r="AE39" s="198"/>
      <c r="AF39" s="198"/>
      <c r="AG39" s="198"/>
      <c r="AH39" s="198"/>
      <c r="AI39" s="198"/>
      <c r="AJ39" s="198"/>
      <c r="AK39" s="198"/>
    </row>
    <row r="40" spans="1:37" x14ac:dyDescent="0.25">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295"/>
      <c r="Y40" s="198"/>
      <c r="Z40" s="198"/>
      <c r="AA40" s="198"/>
      <c r="AB40" s="198"/>
      <c r="AC40" s="198"/>
      <c r="AD40" s="198"/>
      <c r="AE40" s="198"/>
      <c r="AF40" s="198"/>
      <c r="AG40" s="198"/>
      <c r="AH40" s="198"/>
      <c r="AI40" s="198"/>
      <c r="AJ40" s="198"/>
      <c r="AK40" s="198"/>
    </row>
    <row r="41" spans="1:37" x14ac:dyDescent="0.2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295"/>
      <c r="Y41" s="198"/>
      <c r="Z41" s="198"/>
      <c r="AA41" s="198"/>
      <c r="AB41" s="198"/>
      <c r="AC41" s="198"/>
      <c r="AD41" s="198"/>
      <c r="AE41" s="198"/>
      <c r="AF41" s="198"/>
      <c r="AG41" s="198"/>
      <c r="AH41" s="198"/>
      <c r="AI41" s="198"/>
      <c r="AJ41" s="198"/>
      <c r="AK41" s="198"/>
    </row>
    <row r="42" spans="1:37" x14ac:dyDescent="0.25">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295"/>
      <c r="Y42" s="198"/>
      <c r="Z42" s="198"/>
      <c r="AA42" s="198"/>
      <c r="AB42" s="198"/>
      <c r="AC42" s="198"/>
      <c r="AD42" s="198"/>
      <c r="AE42" s="198"/>
      <c r="AF42" s="198"/>
      <c r="AG42" s="198"/>
      <c r="AH42" s="198"/>
      <c r="AI42" s="198"/>
      <c r="AJ42" s="198"/>
      <c r="AK42" s="198"/>
    </row>
    <row r="43" spans="1:37" x14ac:dyDescent="0.25">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295"/>
      <c r="Y43" s="198"/>
      <c r="Z43" s="198"/>
      <c r="AA43" s="198"/>
      <c r="AB43" s="198"/>
      <c r="AC43" s="198"/>
      <c r="AD43" s="198"/>
      <c r="AE43" s="198"/>
      <c r="AF43" s="198"/>
      <c r="AG43" s="198"/>
      <c r="AH43" s="198"/>
      <c r="AI43" s="198"/>
      <c r="AJ43" s="198"/>
      <c r="AK43" s="198"/>
    </row>
    <row r="44" spans="1:37" x14ac:dyDescent="0.25">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295"/>
      <c r="Y44" s="198"/>
      <c r="Z44" s="198"/>
      <c r="AA44" s="198"/>
      <c r="AB44" s="198"/>
      <c r="AC44" s="198"/>
      <c r="AD44" s="198"/>
      <c r="AE44" s="198"/>
      <c r="AF44" s="198"/>
      <c r="AG44" s="198"/>
      <c r="AH44" s="198"/>
      <c r="AI44" s="198"/>
      <c r="AJ44" s="198"/>
      <c r="AK44" s="198"/>
    </row>
    <row r="45" spans="1:37" x14ac:dyDescent="0.25">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295"/>
      <c r="Y45" s="198"/>
      <c r="Z45" s="198"/>
      <c r="AA45" s="198"/>
      <c r="AB45" s="198"/>
      <c r="AC45" s="198"/>
      <c r="AD45" s="198"/>
      <c r="AE45" s="198"/>
      <c r="AF45" s="198"/>
      <c r="AG45" s="198"/>
      <c r="AH45" s="198"/>
      <c r="AI45" s="198"/>
      <c r="AJ45" s="198"/>
      <c r="AK45" s="198"/>
    </row>
    <row r="46" spans="1:37" x14ac:dyDescent="0.25">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295"/>
      <c r="Y46" s="198"/>
      <c r="Z46" s="198"/>
      <c r="AA46" s="198"/>
      <c r="AB46" s="198"/>
      <c r="AC46" s="198"/>
      <c r="AD46" s="198"/>
      <c r="AE46" s="198"/>
      <c r="AF46" s="198"/>
      <c r="AG46" s="198"/>
      <c r="AH46" s="198"/>
      <c r="AI46" s="198"/>
      <c r="AJ46" s="198"/>
      <c r="AK46" s="198"/>
    </row>
    <row r="47" spans="1:37" x14ac:dyDescent="0.25">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295"/>
      <c r="Y47" s="198"/>
      <c r="Z47" s="198"/>
      <c r="AA47" s="198"/>
      <c r="AB47" s="198"/>
      <c r="AC47" s="198"/>
      <c r="AD47" s="198"/>
      <c r="AE47" s="198"/>
      <c r="AF47" s="198"/>
      <c r="AG47" s="198"/>
      <c r="AH47" s="198"/>
      <c r="AI47" s="198"/>
      <c r="AJ47" s="198"/>
      <c r="AK47" s="198"/>
    </row>
    <row r="48" spans="1:37" x14ac:dyDescent="0.25">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295"/>
      <c r="Y48" s="198"/>
      <c r="Z48" s="198"/>
      <c r="AA48" s="198"/>
      <c r="AB48" s="198"/>
      <c r="AC48" s="198"/>
      <c r="AD48" s="198"/>
      <c r="AE48" s="198"/>
      <c r="AF48" s="198"/>
      <c r="AG48" s="198"/>
      <c r="AH48" s="198"/>
      <c r="AI48" s="198"/>
      <c r="AJ48" s="198"/>
      <c r="AK48" s="198"/>
    </row>
    <row r="49" spans="1:37" x14ac:dyDescent="0.25">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295"/>
      <c r="Y49" s="198"/>
      <c r="Z49" s="198"/>
      <c r="AA49" s="198"/>
      <c r="AB49" s="198"/>
      <c r="AC49" s="198"/>
      <c r="AD49" s="198"/>
      <c r="AE49" s="198"/>
      <c r="AF49" s="198"/>
      <c r="AG49" s="198"/>
      <c r="AH49" s="198"/>
      <c r="AI49" s="198"/>
      <c r="AJ49" s="198"/>
      <c r="AK49" s="198"/>
    </row>
    <row r="50" spans="1:37" x14ac:dyDescent="0.25">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295"/>
      <c r="Y50" s="198"/>
      <c r="Z50" s="198"/>
      <c r="AA50" s="198"/>
      <c r="AB50" s="198"/>
      <c r="AC50" s="198"/>
      <c r="AD50" s="198"/>
      <c r="AE50" s="198"/>
      <c r="AF50" s="198"/>
      <c r="AG50" s="198"/>
      <c r="AH50" s="198"/>
      <c r="AI50" s="198"/>
      <c r="AJ50" s="198"/>
      <c r="AK50" s="198"/>
    </row>
    <row r="51" spans="1:37" x14ac:dyDescent="0.25">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295"/>
      <c r="Y51" s="198"/>
      <c r="Z51" s="198"/>
      <c r="AA51" s="198"/>
      <c r="AB51" s="198"/>
      <c r="AC51" s="198"/>
      <c r="AD51" s="198"/>
      <c r="AE51" s="198"/>
      <c r="AF51" s="198"/>
      <c r="AG51" s="198"/>
      <c r="AH51" s="198"/>
      <c r="AI51" s="198"/>
      <c r="AJ51" s="198"/>
      <c r="AK51" s="198"/>
    </row>
    <row r="52" spans="1:37" x14ac:dyDescent="0.25">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295"/>
      <c r="Y52" s="198"/>
      <c r="Z52" s="198"/>
      <c r="AA52" s="198"/>
      <c r="AB52" s="198"/>
      <c r="AC52" s="198"/>
      <c r="AD52" s="198"/>
      <c r="AE52" s="198"/>
      <c r="AF52" s="198"/>
      <c r="AG52" s="198"/>
      <c r="AH52" s="198"/>
      <c r="AI52" s="198"/>
      <c r="AJ52" s="198"/>
      <c r="AK52" s="198"/>
    </row>
    <row r="53" spans="1:37" x14ac:dyDescent="0.25">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295"/>
      <c r="Y53" s="198"/>
      <c r="Z53" s="198"/>
      <c r="AA53" s="198"/>
      <c r="AB53" s="198"/>
      <c r="AC53" s="198"/>
      <c r="AD53" s="198"/>
      <c r="AE53" s="198"/>
      <c r="AF53" s="198"/>
      <c r="AG53" s="198"/>
      <c r="AH53" s="198"/>
      <c r="AI53" s="198"/>
      <c r="AJ53" s="198"/>
      <c r="AK53" s="198"/>
    </row>
    <row r="54" spans="1:37" x14ac:dyDescent="0.25">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295"/>
      <c r="Y54" s="198"/>
      <c r="Z54" s="198"/>
      <c r="AA54" s="198"/>
      <c r="AB54" s="198"/>
      <c r="AC54" s="198"/>
      <c r="AD54" s="198"/>
      <c r="AE54" s="198"/>
      <c r="AF54" s="198"/>
      <c r="AG54" s="198"/>
      <c r="AH54" s="198"/>
      <c r="AI54" s="198"/>
      <c r="AJ54" s="198"/>
      <c r="AK54" s="198"/>
    </row>
    <row r="55" spans="1:37" x14ac:dyDescent="0.25">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295"/>
      <c r="Y55" s="198"/>
      <c r="Z55" s="198"/>
      <c r="AA55" s="198"/>
      <c r="AB55" s="198"/>
      <c r="AC55" s="198"/>
      <c r="AD55" s="198"/>
      <c r="AE55" s="198"/>
      <c r="AF55" s="198"/>
      <c r="AG55" s="198"/>
      <c r="AH55" s="198"/>
      <c r="AI55" s="198"/>
      <c r="AJ55" s="198"/>
      <c r="AK55" s="198"/>
    </row>
    <row r="56" spans="1:37" x14ac:dyDescent="0.25">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295"/>
      <c r="Y56" s="198"/>
      <c r="Z56" s="198"/>
      <c r="AA56" s="198"/>
      <c r="AB56" s="198"/>
      <c r="AC56" s="198"/>
      <c r="AD56" s="198"/>
      <c r="AE56" s="198"/>
      <c r="AF56" s="198"/>
      <c r="AG56" s="198"/>
      <c r="AH56" s="198"/>
      <c r="AI56" s="198"/>
      <c r="AJ56" s="198"/>
      <c r="AK56" s="198"/>
    </row>
    <row r="57" spans="1:37" x14ac:dyDescent="0.25">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295"/>
      <c r="Y57" s="198"/>
      <c r="Z57" s="198"/>
      <c r="AA57" s="198"/>
      <c r="AB57" s="198"/>
      <c r="AC57" s="198"/>
      <c r="AD57" s="198"/>
      <c r="AE57" s="198"/>
      <c r="AF57" s="198"/>
      <c r="AG57" s="198"/>
      <c r="AH57" s="198"/>
      <c r="AI57" s="198"/>
      <c r="AJ57" s="198"/>
      <c r="AK57" s="198"/>
    </row>
    <row r="58" spans="1:37" x14ac:dyDescent="0.25">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295"/>
      <c r="Y58" s="198"/>
      <c r="Z58" s="198"/>
      <c r="AA58" s="198"/>
      <c r="AB58" s="198"/>
      <c r="AC58" s="198"/>
      <c r="AD58" s="198"/>
      <c r="AE58" s="198"/>
      <c r="AF58" s="198"/>
      <c r="AG58" s="198"/>
      <c r="AH58" s="198"/>
      <c r="AI58" s="198"/>
      <c r="AJ58" s="198"/>
      <c r="AK58" s="198"/>
    </row>
    <row r="59" spans="1:37" x14ac:dyDescent="0.25">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295"/>
      <c r="Y59" s="198"/>
      <c r="Z59" s="198"/>
      <c r="AA59" s="198"/>
      <c r="AB59" s="198"/>
      <c r="AC59" s="198"/>
      <c r="AD59" s="198"/>
      <c r="AE59" s="198"/>
      <c r="AF59" s="198"/>
      <c r="AG59" s="198"/>
      <c r="AH59" s="198"/>
      <c r="AI59" s="198"/>
      <c r="AJ59" s="198"/>
      <c r="AK59" s="198"/>
    </row>
    <row r="60" spans="1:37" x14ac:dyDescent="0.25">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295"/>
      <c r="Y60" s="198"/>
      <c r="Z60" s="198"/>
      <c r="AA60" s="198"/>
      <c r="AB60" s="198"/>
      <c r="AC60" s="198"/>
      <c r="AD60" s="198"/>
      <c r="AE60" s="198"/>
      <c r="AF60" s="198"/>
      <c r="AG60" s="198"/>
      <c r="AH60" s="198"/>
      <c r="AI60" s="198"/>
      <c r="AJ60" s="198"/>
      <c r="AK60" s="198"/>
    </row>
    <row r="61" spans="1:37" x14ac:dyDescent="0.25">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295"/>
      <c r="Y61" s="198"/>
      <c r="Z61" s="198"/>
      <c r="AA61" s="198"/>
      <c r="AB61" s="198"/>
      <c r="AC61" s="198"/>
      <c r="AD61" s="198"/>
      <c r="AE61" s="198"/>
      <c r="AF61" s="198"/>
      <c r="AG61" s="198"/>
      <c r="AH61" s="198"/>
      <c r="AI61" s="198"/>
      <c r="AJ61" s="198"/>
      <c r="AK61" s="198"/>
    </row>
    <row r="62" spans="1:37" x14ac:dyDescent="0.25">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295"/>
      <c r="Y62" s="198"/>
      <c r="Z62" s="198"/>
      <c r="AA62" s="198"/>
      <c r="AB62" s="198"/>
      <c r="AC62" s="198"/>
      <c r="AD62" s="198"/>
      <c r="AE62" s="198"/>
      <c r="AF62" s="198"/>
      <c r="AG62" s="198"/>
      <c r="AH62" s="198"/>
      <c r="AI62" s="198"/>
      <c r="AJ62" s="198"/>
      <c r="AK62" s="198"/>
    </row>
    <row r="63" spans="1:37" x14ac:dyDescent="0.25">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295"/>
      <c r="Y63" s="198"/>
      <c r="Z63" s="198"/>
      <c r="AA63" s="198"/>
      <c r="AB63" s="198"/>
      <c r="AC63" s="198"/>
      <c r="AD63" s="198"/>
      <c r="AE63" s="198"/>
      <c r="AF63" s="198"/>
      <c r="AG63" s="198"/>
      <c r="AH63" s="198"/>
      <c r="AI63" s="198"/>
      <c r="AJ63" s="198"/>
      <c r="AK63" s="198"/>
    </row>
    <row r="64" spans="1:37" x14ac:dyDescent="0.25">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295"/>
      <c r="Y64" s="198"/>
      <c r="Z64" s="198"/>
      <c r="AA64" s="198"/>
      <c r="AB64" s="198"/>
      <c r="AC64" s="198"/>
      <c r="AD64" s="198"/>
      <c r="AE64" s="198"/>
      <c r="AF64" s="198"/>
      <c r="AG64" s="198"/>
      <c r="AH64" s="198"/>
      <c r="AI64" s="198"/>
      <c r="AJ64" s="198"/>
      <c r="AK64" s="198"/>
    </row>
    <row r="65" spans="1:37" x14ac:dyDescent="0.25">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295"/>
      <c r="Y65" s="198"/>
      <c r="Z65" s="198"/>
      <c r="AA65" s="198"/>
      <c r="AB65" s="198"/>
      <c r="AC65" s="198"/>
      <c r="AD65" s="198"/>
      <c r="AE65" s="198"/>
      <c r="AF65" s="198"/>
      <c r="AG65" s="198"/>
      <c r="AH65" s="198"/>
      <c r="AI65" s="198"/>
      <c r="AJ65" s="198"/>
      <c r="AK65" s="198"/>
    </row>
    <row r="66" spans="1:37" x14ac:dyDescent="0.25">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295"/>
      <c r="Y66" s="198"/>
      <c r="Z66" s="198"/>
      <c r="AA66" s="198"/>
      <c r="AB66" s="198"/>
      <c r="AC66" s="198"/>
      <c r="AD66" s="198"/>
      <c r="AE66" s="198"/>
      <c r="AF66" s="198"/>
      <c r="AG66" s="198"/>
      <c r="AH66" s="198"/>
      <c r="AI66" s="198"/>
      <c r="AJ66" s="198"/>
      <c r="AK66" s="198"/>
    </row>
    <row r="67" spans="1:37" x14ac:dyDescent="0.25">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295"/>
      <c r="Y67" s="198"/>
      <c r="Z67" s="198"/>
      <c r="AA67" s="198"/>
      <c r="AB67" s="198"/>
      <c r="AC67" s="198"/>
      <c r="AD67" s="198"/>
      <c r="AE67" s="198"/>
      <c r="AF67" s="198"/>
      <c r="AG67" s="198"/>
      <c r="AH67" s="198"/>
      <c r="AI67" s="198"/>
      <c r="AJ67" s="198"/>
      <c r="AK67" s="198"/>
    </row>
    <row r="68" spans="1:37" x14ac:dyDescent="0.25">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295"/>
      <c r="Y68" s="198"/>
      <c r="Z68" s="198"/>
      <c r="AA68" s="198"/>
      <c r="AB68" s="198"/>
      <c r="AC68" s="198"/>
      <c r="AD68" s="198"/>
      <c r="AE68" s="198"/>
      <c r="AF68" s="198"/>
      <c r="AG68" s="198"/>
      <c r="AH68" s="198"/>
      <c r="AI68" s="198"/>
      <c r="AJ68" s="198"/>
      <c r="AK68" s="198"/>
    </row>
    <row r="69" spans="1:37" x14ac:dyDescent="0.25">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295"/>
      <c r="Y69" s="198"/>
      <c r="Z69" s="198"/>
      <c r="AA69" s="198"/>
      <c r="AB69" s="198"/>
      <c r="AC69" s="198"/>
      <c r="AD69" s="198"/>
      <c r="AE69" s="198"/>
      <c r="AF69" s="198"/>
      <c r="AG69" s="198"/>
      <c r="AH69" s="198"/>
      <c r="AI69" s="198"/>
      <c r="AJ69" s="198"/>
      <c r="AK69" s="198"/>
    </row>
    <row r="70" spans="1:37" x14ac:dyDescent="0.25">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295"/>
      <c r="Y70" s="198"/>
      <c r="Z70" s="198"/>
      <c r="AA70" s="198"/>
      <c r="AB70" s="198"/>
      <c r="AC70" s="198"/>
      <c r="AD70" s="198"/>
      <c r="AE70" s="198"/>
      <c r="AF70" s="198"/>
      <c r="AG70" s="198"/>
      <c r="AH70" s="198"/>
      <c r="AI70" s="198"/>
      <c r="AJ70" s="198"/>
      <c r="AK70" s="198"/>
    </row>
    <row r="71" spans="1:37" x14ac:dyDescent="0.25">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295"/>
      <c r="Y71" s="198"/>
      <c r="Z71" s="198"/>
      <c r="AA71" s="198"/>
      <c r="AB71" s="198"/>
      <c r="AC71" s="198"/>
      <c r="AD71" s="198"/>
      <c r="AE71" s="198"/>
      <c r="AF71" s="198"/>
      <c r="AG71" s="198"/>
      <c r="AH71" s="198"/>
      <c r="AI71" s="198"/>
      <c r="AJ71" s="198"/>
      <c r="AK71" s="198"/>
    </row>
    <row r="72" spans="1:37" x14ac:dyDescent="0.25">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295"/>
      <c r="Y72" s="198"/>
      <c r="Z72" s="198"/>
      <c r="AA72" s="198"/>
      <c r="AB72" s="198"/>
      <c r="AC72" s="198"/>
      <c r="AD72" s="198"/>
      <c r="AE72" s="198"/>
      <c r="AF72" s="198"/>
      <c r="AG72" s="198"/>
      <c r="AH72" s="198"/>
      <c r="AI72" s="198"/>
      <c r="AJ72" s="198"/>
      <c r="AK72" s="198"/>
    </row>
    <row r="73" spans="1:37" x14ac:dyDescent="0.25">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295"/>
      <c r="Y73" s="198"/>
      <c r="Z73" s="198"/>
      <c r="AA73" s="198"/>
      <c r="AB73" s="198"/>
      <c r="AC73" s="198"/>
      <c r="AD73" s="198"/>
      <c r="AE73" s="198"/>
      <c r="AF73" s="198"/>
      <c r="AG73" s="198"/>
      <c r="AH73" s="198"/>
      <c r="AI73" s="198"/>
      <c r="AJ73" s="198"/>
      <c r="AK73" s="198"/>
    </row>
    <row r="74" spans="1:37" x14ac:dyDescent="0.25">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295"/>
      <c r="Y74" s="198"/>
      <c r="Z74" s="198"/>
      <c r="AA74" s="198"/>
      <c r="AB74" s="198"/>
      <c r="AC74" s="198"/>
      <c r="AD74" s="198"/>
      <c r="AE74" s="198"/>
      <c r="AF74" s="198"/>
      <c r="AG74" s="198"/>
      <c r="AH74" s="198"/>
      <c r="AI74" s="198"/>
      <c r="AJ74" s="198"/>
      <c r="AK74" s="198"/>
    </row>
    <row r="75" spans="1:37" x14ac:dyDescent="0.25">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295"/>
      <c r="Y75" s="198"/>
      <c r="Z75" s="198"/>
      <c r="AA75" s="198"/>
      <c r="AB75" s="198"/>
      <c r="AC75" s="198"/>
      <c r="AD75" s="198"/>
      <c r="AE75" s="198"/>
      <c r="AF75" s="198"/>
      <c r="AG75" s="198"/>
      <c r="AH75" s="198"/>
      <c r="AI75" s="198"/>
      <c r="AJ75" s="198"/>
      <c r="AK75" s="198"/>
    </row>
    <row r="76" spans="1:37" x14ac:dyDescent="0.25">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295"/>
      <c r="Y76" s="198"/>
      <c r="Z76" s="198"/>
      <c r="AA76" s="198"/>
      <c r="AB76" s="198"/>
      <c r="AC76" s="198"/>
      <c r="AD76" s="198"/>
      <c r="AE76" s="198"/>
      <c r="AF76" s="198"/>
      <c r="AG76" s="198"/>
      <c r="AH76" s="198"/>
      <c r="AI76" s="198"/>
      <c r="AJ76" s="198"/>
      <c r="AK76" s="198"/>
    </row>
    <row r="77" spans="1:37" x14ac:dyDescent="0.25">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295"/>
      <c r="Y77" s="198"/>
      <c r="Z77" s="198"/>
      <c r="AA77" s="198"/>
      <c r="AB77" s="198"/>
      <c r="AC77" s="198"/>
      <c r="AD77" s="198"/>
      <c r="AE77" s="198"/>
      <c r="AF77" s="198"/>
      <c r="AG77" s="198"/>
      <c r="AH77" s="198"/>
      <c r="AI77" s="198"/>
      <c r="AJ77" s="198"/>
      <c r="AK77" s="198"/>
    </row>
    <row r="78" spans="1:37" x14ac:dyDescent="0.25">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295"/>
      <c r="Y78" s="198"/>
      <c r="Z78" s="198"/>
      <c r="AA78" s="198"/>
      <c r="AB78" s="198"/>
      <c r="AC78" s="198"/>
      <c r="AD78" s="198"/>
      <c r="AE78" s="198"/>
      <c r="AF78" s="198"/>
      <c r="AG78" s="198"/>
      <c r="AH78" s="198"/>
      <c r="AI78" s="198"/>
      <c r="AJ78" s="198"/>
      <c r="AK78" s="198"/>
    </row>
    <row r="79" spans="1:37" x14ac:dyDescent="0.25">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295"/>
      <c r="Y79" s="198"/>
      <c r="Z79" s="198"/>
      <c r="AA79" s="198"/>
      <c r="AB79" s="198"/>
      <c r="AC79" s="198"/>
      <c r="AD79" s="198"/>
      <c r="AE79" s="198"/>
      <c r="AF79" s="198"/>
      <c r="AG79" s="198"/>
      <c r="AH79" s="198"/>
      <c r="AI79" s="198"/>
      <c r="AJ79" s="198"/>
      <c r="AK79" s="198"/>
    </row>
    <row r="80" spans="1:37" x14ac:dyDescent="0.25">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295"/>
      <c r="Y80" s="198"/>
      <c r="Z80" s="198"/>
      <c r="AA80" s="198"/>
      <c r="AB80" s="198"/>
      <c r="AC80" s="198"/>
      <c r="AD80" s="198"/>
      <c r="AE80" s="198"/>
      <c r="AF80" s="198"/>
      <c r="AG80" s="198"/>
      <c r="AH80" s="198"/>
      <c r="AI80" s="198"/>
      <c r="AJ80" s="198"/>
      <c r="AK80" s="198"/>
    </row>
    <row r="81" spans="1:37" x14ac:dyDescent="0.25">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295"/>
      <c r="Y81" s="198"/>
      <c r="Z81" s="198"/>
      <c r="AA81" s="198"/>
      <c r="AB81" s="198"/>
      <c r="AC81" s="198"/>
      <c r="AD81" s="198"/>
      <c r="AE81" s="198"/>
      <c r="AF81" s="198"/>
      <c r="AG81" s="198"/>
      <c r="AH81" s="198"/>
      <c r="AI81" s="198"/>
      <c r="AJ81" s="198"/>
      <c r="AK81" s="198"/>
    </row>
    <row r="82" spans="1:37" x14ac:dyDescent="0.25">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295"/>
      <c r="Y82" s="198"/>
      <c r="Z82" s="198"/>
      <c r="AA82" s="198"/>
      <c r="AB82" s="198"/>
      <c r="AC82" s="198"/>
      <c r="AD82" s="198"/>
      <c r="AE82" s="198"/>
      <c r="AF82" s="198"/>
      <c r="AG82" s="198"/>
      <c r="AH82" s="198"/>
      <c r="AI82" s="198"/>
      <c r="AJ82" s="198"/>
      <c r="AK82" s="198"/>
    </row>
    <row r="83" spans="1:37" x14ac:dyDescent="0.25">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295"/>
      <c r="Y83" s="198"/>
      <c r="Z83" s="198"/>
      <c r="AA83" s="198"/>
      <c r="AB83" s="198"/>
      <c r="AC83" s="198"/>
      <c r="AD83" s="198"/>
      <c r="AE83" s="198"/>
      <c r="AF83" s="198"/>
      <c r="AG83" s="198"/>
      <c r="AH83" s="198"/>
      <c r="AI83" s="198"/>
      <c r="AJ83" s="198"/>
      <c r="AK83" s="198"/>
    </row>
    <row r="84" spans="1:37" x14ac:dyDescent="0.25">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295"/>
      <c r="Y84" s="198"/>
      <c r="Z84" s="198"/>
      <c r="AA84" s="198"/>
      <c r="AB84" s="198"/>
      <c r="AC84" s="198"/>
      <c r="AD84" s="198"/>
      <c r="AE84" s="198"/>
      <c r="AF84" s="198"/>
      <c r="AG84" s="198"/>
      <c r="AH84" s="198"/>
      <c r="AI84" s="198"/>
      <c r="AJ84" s="198"/>
      <c r="AK84" s="198"/>
    </row>
    <row r="85" spans="1:37" x14ac:dyDescent="0.25">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295"/>
      <c r="Y85" s="198"/>
      <c r="Z85" s="198"/>
      <c r="AA85" s="198"/>
      <c r="AB85" s="198"/>
      <c r="AC85" s="198"/>
      <c r="AD85" s="198"/>
      <c r="AE85" s="198"/>
      <c r="AF85" s="198"/>
      <c r="AG85" s="198"/>
      <c r="AH85" s="198"/>
      <c r="AI85" s="198"/>
      <c r="AJ85" s="198"/>
      <c r="AK85" s="198"/>
    </row>
    <row r="86" spans="1:37" x14ac:dyDescent="0.25">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295"/>
      <c r="Y86" s="198"/>
      <c r="Z86" s="198"/>
      <c r="AA86" s="198"/>
      <c r="AB86" s="198"/>
      <c r="AC86" s="198"/>
      <c r="AD86" s="198"/>
      <c r="AE86" s="198"/>
      <c r="AF86" s="198"/>
      <c r="AG86" s="198"/>
      <c r="AH86" s="198"/>
      <c r="AI86" s="198"/>
      <c r="AJ86" s="198"/>
      <c r="AK86" s="198"/>
    </row>
    <row r="87" spans="1:37" x14ac:dyDescent="0.25">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295"/>
      <c r="Y87" s="198"/>
      <c r="Z87" s="198"/>
      <c r="AA87" s="198"/>
      <c r="AB87" s="198"/>
      <c r="AC87" s="198"/>
      <c r="AD87" s="198"/>
      <c r="AE87" s="198"/>
      <c r="AF87" s="198"/>
      <c r="AG87" s="198"/>
      <c r="AH87" s="198"/>
      <c r="AI87" s="198"/>
      <c r="AJ87" s="198"/>
      <c r="AK87" s="198"/>
    </row>
    <row r="88" spans="1:37" x14ac:dyDescent="0.25">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295"/>
      <c r="Y88" s="198"/>
      <c r="Z88" s="198"/>
      <c r="AA88" s="198"/>
      <c r="AB88" s="198"/>
      <c r="AC88" s="198"/>
      <c r="AD88" s="198"/>
      <c r="AE88" s="198"/>
      <c r="AF88" s="198"/>
      <c r="AG88" s="198"/>
      <c r="AH88" s="198"/>
      <c r="AI88" s="198"/>
      <c r="AJ88" s="198"/>
      <c r="AK88" s="198"/>
    </row>
    <row r="89" spans="1:37" x14ac:dyDescent="0.25">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295"/>
      <c r="Y89" s="198"/>
      <c r="Z89" s="198"/>
      <c r="AA89" s="198"/>
      <c r="AB89" s="198"/>
      <c r="AC89" s="198"/>
      <c r="AD89" s="198"/>
      <c r="AE89" s="198"/>
      <c r="AF89" s="198"/>
      <c r="AG89" s="198"/>
      <c r="AH89" s="198"/>
      <c r="AI89" s="198"/>
      <c r="AJ89" s="198"/>
      <c r="AK89" s="198"/>
    </row>
    <row r="90" spans="1:37" x14ac:dyDescent="0.25">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295"/>
      <c r="Y90" s="198"/>
      <c r="Z90" s="198"/>
      <c r="AA90" s="198"/>
      <c r="AB90" s="198"/>
      <c r="AC90" s="198"/>
      <c r="AD90" s="198"/>
      <c r="AE90" s="198"/>
      <c r="AF90" s="198"/>
      <c r="AG90" s="198"/>
      <c r="AH90" s="198"/>
      <c r="AI90" s="198"/>
      <c r="AJ90" s="198"/>
      <c r="AK90" s="198"/>
    </row>
    <row r="91" spans="1:37" x14ac:dyDescent="0.25">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295"/>
      <c r="Y91" s="198"/>
      <c r="Z91" s="198"/>
      <c r="AA91" s="198"/>
      <c r="AB91" s="198"/>
      <c r="AC91" s="198"/>
      <c r="AD91" s="198"/>
      <c r="AE91" s="198"/>
      <c r="AF91" s="198"/>
      <c r="AG91" s="198"/>
      <c r="AH91" s="198"/>
      <c r="AI91" s="198"/>
      <c r="AJ91" s="198"/>
      <c r="AK91" s="198"/>
    </row>
    <row r="92" spans="1:37" x14ac:dyDescent="0.25">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295"/>
      <c r="Y92" s="198"/>
      <c r="Z92" s="198"/>
      <c r="AA92" s="198"/>
      <c r="AB92" s="198"/>
      <c r="AC92" s="198"/>
      <c r="AD92" s="198"/>
      <c r="AE92" s="198"/>
      <c r="AF92" s="198"/>
      <c r="AG92" s="198"/>
      <c r="AH92" s="198"/>
      <c r="AI92" s="198"/>
      <c r="AJ92" s="198"/>
      <c r="AK92" s="198"/>
    </row>
    <row r="93" spans="1:37" x14ac:dyDescent="0.25">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295"/>
      <c r="Y93" s="198"/>
      <c r="Z93" s="198"/>
      <c r="AA93" s="198"/>
      <c r="AB93" s="198"/>
      <c r="AC93" s="198"/>
      <c r="AD93" s="198"/>
      <c r="AE93" s="198"/>
      <c r="AF93" s="198"/>
      <c r="AG93" s="198"/>
      <c r="AH93" s="198"/>
      <c r="AI93" s="198"/>
      <c r="AJ93" s="198"/>
      <c r="AK93" s="198"/>
    </row>
    <row r="94" spans="1:37" x14ac:dyDescent="0.25">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295"/>
      <c r="Y94" s="198"/>
      <c r="Z94" s="198"/>
      <c r="AA94" s="198"/>
      <c r="AB94" s="198"/>
      <c r="AC94" s="198"/>
      <c r="AD94" s="198"/>
      <c r="AE94" s="198"/>
      <c r="AF94" s="198"/>
      <c r="AG94" s="198"/>
      <c r="AH94" s="198"/>
      <c r="AI94" s="198"/>
      <c r="AJ94" s="198"/>
      <c r="AK94" s="198"/>
    </row>
    <row r="95" spans="1:37" x14ac:dyDescent="0.25">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295"/>
      <c r="Y95" s="198"/>
      <c r="Z95" s="198"/>
      <c r="AA95" s="198"/>
      <c r="AB95" s="198"/>
      <c r="AC95" s="198"/>
      <c r="AD95" s="198"/>
      <c r="AE95" s="198"/>
      <c r="AF95" s="198"/>
      <c r="AG95" s="198"/>
      <c r="AH95" s="198"/>
      <c r="AI95" s="198"/>
      <c r="AJ95" s="198"/>
      <c r="AK95" s="198"/>
    </row>
    <row r="96" spans="1:37" x14ac:dyDescent="0.25">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295"/>
      <c r="Y96" s="198"/>
      <c r="Z96" s="198"/>
      <c r="AA96" s="198"/>
      <c r="AB96" s="198"/>
      <c r="AC96" s="198"/>
      <c r="AD96" s="198"/>
      <c r="AE96" s="198"/>
      <c r="AF96" s="198"/>
      <c r="AG96" s="198"/>
      <c r="AH96" s="198"/>
      <c r="AI96" s="198"/>
      <c r="AJ96" s="198"/>
      <c r="AK96" s="198"/>
    </row>
    <row r="97" spans="1:37" x14ac:dyDescent="0.25">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295"/>
      <c r="Y97" s="198"/>
      <c r="Z97" s="198"/>
      <c r="AA97" s="198"/>
      <c r="AB97" s="198"/>
      <c r="AC97" s="198"/>
      <c r="AD97" s="198"/>
      <c r="AE97" s="198"/>
      <c r="AF97" s="198"/>
      <c r="AG97" s="198"/>
      <c r="AH97" s="198"/>
      <c r="AI97" s="198"/>
      <c r="AJ97" s="198"/>
      <c r="AK97" s="198"/>
    </row>
    <row r="98" spans="1:37" x14ac:dyDescent="0.25">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295"/>
      <c r="Y98" s="198"/>
      <c r="Z98" s="198"/>
      <c r="AA98" s="198"/>
      <c r="AB98" s="198"/>
      <c r="AC98" s="198"/>
      <c r="AD98" s="198"/>
      <c r="AE98" s="198"/>
      <c r="AF98" s="198"/>
      <c r="AG98" s="198"/>
      <c r="AH98" s="198"/>
      <c r="AI98" s="198"/>
      <c r="AJ98" s="198"/>
      <c r="AK98" s="198"/>
    </row>
    <row r="99" spans="1:37" x14ac:dyDescent="0.25">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295"/>
      <c r="Y99" s="198"/>
      <c r="Z99" s="198"/>
      <c r="AA99" s="198"/>
      <c r="AB99" s="198"/>
      <c r="AC99" s="198"/>
      <c r="AD99" s="198"/>
      <c r="AE99" s="198"/>
      <c r="AF99" s="198"/>
      <c r="AG99" s="198"/>
      <c r="AH99" s="198"/>
      <c r="AI99" s="198"/>
      <c r="AJ99" s="198"/>
      <c r="AK99" s="198"/>
    </row>
    <row r="100" spans="1:37" x14ac:dyDescent="0.25">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295"/>
      <c r="Y100" s="198"/>
      <c r="Z100" s="198"/>
      <c r="AA100" s="198"/>
      <c r="AB100" s="198"/>
      <c r="AC100" s="198"/>
      <c r="AD100" s="198"/>
      <c r="AE100" s="198"/>
      <c r="AF100" s="198"/>
      <c r="AG100" s="198"/>
      <c r="AH100" s="198"/>
      <c r="AI100" s="198"/>
      <c r="AJ100" s="198"/>
      <c r="AK100" s="198"/>
    </row>
    <row r="101" spans="1:37" x14ac:dyDescent="0.25">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295"/>
      <c r="Y101" s="198"/>
      <c r="Z101" s="198"/>
      <c r="AA101" s="198"/>
      <c r="AB101" s="198"/>
      <c r="AC101" s="198"/>
      <c r="AD101" s="198"/>
      <c r="AE101" s="198"/>
      <c r="AF101" s="198"/>
      <c r="AG101" s="198"/>
      <c r="AH101" s="198"/>
      <c r="AI101" s="198"/>
      <c r="AJ101" s="198"/>
      <c r="AK101" s="198"/>
    </row>
    <row r="102" spans="1:37" x14ac:dyDescent="0.25">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295"/>
      <c r="Y102" s="198"/>
      <c r="Z102" s="198"/>
      <c r="AA102" s="198"/>
      <c r="AB102" s="198"/>
      <c r="AC102" s="198"/>
      <c r="AD102" s="198"/>
      <c r="AE102" s="198"/>
      <c r="AF102" s="198"/>
      <c r="AG102" s="198"/>
      <c r="AH102" s="198"/>
      <c r="AI102" s="198"/>
      <c r="AJ102" s="198"/>
      <c r="AK102" s="198"/>
    </row>
    <row r="103" spans="1:37" x14ac:dyDescent="0.25">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295"/>
      <c r="Y103" s="198"/>
      <c r="Z103" s="198"/>
      <c r="AA103" s="198"/>
      <c r="AB103" s="198"/>
      <c r="AC103" s="198"/>
      <c r="AD103" s="198"/>
      <c r="AE103" s="198"/>
      <c r="AF103" s="198"/>
      <c r="AG103" s="198"/>
      <c r="AH103" s="198"/>
      <c r="AI103" s="198"/>
      <c r="AJ103" s="198"/>
      <c r="AK103" s="198"/>
    </row>
    <row r="104" spans="1:37" x14ac:dyDescent="0.25">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295"/>
      <c r="Y104" s="198"/>
      <c r="Z104" s="198"/>
      <c r="AA104" s="198"/>
      <c r="AB104" s="198"/>
      <c r="AC104" s="198"/>
      <c r="AD104" s="198"/>
      <c r="AE104" s="198"/>
      <c r="AF104" s="198"/>
      <c r="AG104" s="198"/>
      <c r="AH104" s="198"/>
      <c r="AI104" s="198"/>
      <c r="AJ104" s="198"/>
      <c r="AK104" s="198"/>
    </row>
    <row r="105" spans="1:37" x14ac:dyDescent="0.25">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295"/>
      <c r="Y105" s="198"/>
      <c r="Z105" s="198"/>
      <c r="AA105" s="198"/>
      <c r="AB105" s="198"/>
      <c r="AC105" s="198"/>
      <c r="AD105" s="198"/>
      <c r="AE105" s="198"/>
      <c r="AF105" s="198"/>
      <c r="AG105" s="198"/>
      <c r="AH105" s="198"/>
      <c r="AI105" s="198"/>
      <c r="AJ105" s="198"/>
      <c r="AK105" s="198"/>
    </row>
    <row r="106" spans="1:37" x14ac:dyDescent="0.25">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295"/>
      <c r="Y106" s="198"/>
      <c r="Z106" s="198"/>
      <c r="AA106" s="198"/>
      <c r="AB106" s="198"/>
      <c r="AC106" s="198"/>
      <c r="AD106" s="198"/>
      <c r="AE106" s="198"/>
      <c r="AF106" s="198"/>
      <c r="AG106" s="198"/>
      <c r="AH106" s="198"/>
      <c r="AI106" s="198"/>
      <c r="AJ106" s="198"/>
      <c r="AK106" s="198"/>
    </row>
    <row r="107" spans="1:37" x14ac:dyDescent="0.25">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295"/>
      <c r="Y107" s="198"/>
      <c r="Z107" s="198"/>
      <c r="AA107" s="198"/>
      <c r="AB107" s="198"/>
      <c r="AC107" s="198"/>
      <c r="AD107" s="198"/>
      <c r="AE107" s="198"/>
      <c r="AF107" s="198"/>
      <c r="AG107" s="198"/>
      <c r="AH107" s="198"/>
      <c r="AI107" s="198"/>
      <c r="AJ107" s="198"/>
      <c r="AK107" s="198"/>
    </row>
    <row r="108" spans="1:37" x14ac:dyDescent="0.25">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295"/>
      <c r="Y108" s="198"/>
      <c r="Z108" s="198"/>
      <c r="AA108" s="198"/>
      <c r="AB108" s="198"/>
      <c r="AC108" s="198"/>
      <c r="AD108" s="198"/>
      <c r="AE108" s="198"/>
      <c r="AF108" s="198"/>
      <c r="AG108" s="198"/>
      <c r="AH108" s="198"/>
      <c r="AI108" s="198"/>
      <c r="AJ108" s="198"/>
      <c r="AK108" s="198"/>
    </row>
    <row r="109" spans="1:37" x14ac:dyDescent="0.25">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295"/>
      <c r="Y109" s="198"/>
      <c r="Z109" s="198"/>
      <c r="AA109" s="198"/>
      <c r="AB109" s="198"/>
      <c r="AC109" s="198"/>
      <c r="AD109" s="198"/>
      <c r="AE109" s="198"/>
      <c r="AF109" s="198"/>
      <c r="AG109" s="198"/>
      <c r="AH109" s="198"/>
      <c r="AI109" s="198"/>
      <c r="AJ109" s="198"/>
      <c r="AK109" s="198"/>
    </row>
    <row r="110" spans="1:37" x14ac:dyDescent="0.25">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295"/>
      <c r="Y110" s="198"/>
      <c r="Z110" s="198"/>
      <c r="AA110" s="198"/>
      <c r="AB110" s="198"/>
      <c r="AC110" s="198"/>
      <c r="AD110" s="198"/>
      <c r="AE110" s="198"/>
      <c r="AF110" s="198"/>
      <c r="AG110" s="198"/>
      <c r="AH110" s="198"/>
      <c r="AI110" s="198"/>
      <c r="AJ110" s="198"/>
      <c r="AK110" s="198"/>
    </row>
    <row r="111" spans="1:37" x14ac:dyDescent="0.25">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295"/>
      <c r="Y111" s="198"/>
      <c r="Z111" s="198"/>
      <c r="AA111" s="198"/>
      <c r="AB111" s="198"/>
      <c r="AC111" s="198"/>
      <c r="AD111" s="198"/>
      <c r="AE111" s="198"/>
      <c r="AF111" s="198"/>
      <c r="AG111" s="198"/>
      <c r="AH111" s="198"/>
      <c r="AI111" s="198"/>
      <c r="AJ111" s="198"/>
      <c r="AK111" s="198"/>
    </row>
    <row r="112" spans="1:37" x14ac:dyDescent="0.25">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295"/>
      <c r="Y112" s="198"/>
      <c r="Z112" s="198"/>
      <c r="AA112" s="198"/>
      <c r="AB112" s="198"/>
      <c r="AC112" s="198"/>
      <c r="AD112" s="198"/>
      <c r="AE112" s="198"/>
      <c r="AF112" s="198"/>
      <c r="AG112" s="198"/>
      <c r="AH112" s="198"/>
      <c r="AI112" s="198"/>
      <c r="AJ112" s="198"/>
      <c r="AK112" s="198"/>
    </row>
    <row r="113" spans="1:37" x14ac:dyDescent="0.25">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295"/>
      <c r="Y113" s="198"/>
      <c r="Z113" s="198"/>
      <c r="AA113" s="198"/>
      <c r="AB113" s="198"/>
      <c r="AC113" s="198"/>
      <c r="AD113" s="198"/>
      <c r="AE113" s="198"/>
      <c r="AF113" s="198"/>
      <c r="AG113" s="198"/>
      <c r="AH113" s="198"/>
      <c r="AI113" s="198"/>
      <c r="AJ113" s="198"/>
      <c r="AK113" s="198"/>
    </row>
    <row r="114" spans="1:37" x14ac:dyDescent="0.25">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295"/>
      <c r="Y114" s="198"/>
      <c r="Z114" s="198"/>
      <c r="AA114" s="198"/>
      <c r="AB114" s="198"/>
      <c r="AC114" s="198"/>
      <c r="AD114" s="198"/>
      <c r="AE114" s="198"/>
      <c r="AF114" s="198"/>
      <c r="AG114" s="198"/>
      <c r="AH114" s="198"/>
      <c r="AI114" s="198"/>
      <c r="AJ114" s="198"/>
      <c r="AK114" s="198"/>
    </row>
    <row r="115" spans="1:37" x14ac:dyDescent="0.25">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295"/>
      <c r="Y115" s="198"/>
      <c r="Z115" s="198"/>
      <c r="AA115" s="198"/>
      <c r="AB115" s="198"/>
      <c r="AC115" s="198"/>
      <c r="AD115" s="198"/>
      <c r="AE115" s="198"/>
      <c r="AF115" s="198"/>
      <c r="AG115" s="198"/>
      <c r="AH115" s="198"/>
      <c r="AI115" s="198"/>
      <c r="AJ115" s="198"/>
      <c r="AK115" s="198"/>
    </row>
    <row r="116" spans="1:37" x14ac:dyDescent="0.25">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295"/>
      <c r="Y116" s="198"/>
      <c r="Z116" s="198"/>
      <c r="AA116" s="198"/>
      <c r="AB116" s="198"/>
      <c r="AC116" s="198"/>
      <c r="AD116" s="198"/>
      <c r="AE116" s="198"/>
      <c r="AF116" s="198"/>
      <c r="AG116" s="198"/>
      <c r="AH116" s="198"/>
      <c r="AI116" s="198"/>
      <c r="AJ116" s="198"/>
      <c r="AK116" s="198"/>
    </row>
    <row r="117" spans="1:37" x14ac:dyDescent="0.25">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295"/>
      <c r="Y117" s="198"/>
      <c r="Z117" s="198"/>
      <c r="AA117" s="198"/>
      <c r="AB117" s="198"/>
      <c r="AC117" s="198"/>
      <c r="AD117" s="198"/>
      <c r="AE117" s="198"/>
      <c r="AF117" s="198"/>
      <c r="AG117" s="198"/>
      <c r="AH117" s="198"/>
      <c r="AI117" s="198"/>
      <c r="AJ117" s="198"/>
      <c r="AK117" s="198"/>
    </row>
    <row r="118" spans="1:37" x14ac:dyDescent="0.25">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295"/>
      <c r="Y118" s="198"/>
      <c r="Z118" s="198"/>
      <c r="AA118" s="198"/>
      <c r="AB118" s="198"/>
      <c r="AC118" s="198"/>
      <c r="AD118" s="198"/>
      <c r="AE118" s="198"/>
      <c r="AF118" s="198"/>
      <c r="AG118" s="198"/>
      <c r="AH118" s="198"/>
      <c r="AI118" s="198"/>
      <c r="AJ118" s="198"/>
      <c r="AK118" s="198"/>
    </row>
    <row r="119" spans="1:37" x14ac:dyDescent="0.25">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295"/>
      <c r="Y119" s="198"/>
      <c r="Z119" s="198"/>
      <c r="AA119" s="198"/>
      <c r="AB119" s="198"/>
      <c r="AC119" s="198"/>
      <c r="AD119" s="198"/>
      <c r="AE119" s="198"/>
      <c r="AF119" s="198"/>
      <c r="AG119" s="198"/>
      <c r="AH119" s="198"/>
      <c r="AI119" s="198"/>
      <c r="AJ119" s="198"/>
      <c r="AK119" s="198"/>
    </row>
    <row r="120" spans="1:37" x14ac:dyDescent="0.25">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295"/>
      <c r="Y120" s="198"/>
      <c r="Z120" s="198"/>
      <c r="AA120" s="198"/>
      <c r="AB120" s="198"/>
      <c r="AC120" s="198"/>
      <c r="AD120" s="198"/>
      <c r="AE120" s="198"/>
      <c r="AF120" s="198"/>
      <c r="AG120" s="198"/>
      <c r="AH120" s="198"/>
      <c r="AI120" s="198"/>
      <c r="AJ120" s="198"/>
      <c r="AK120" s="198"/>
    </row>
    <row r="121" spans="1:37" x14ac:dyDescent="0.25">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295"/>
      <c r="Y121" s="198"/>
      <c r="Z121" s="198"/>
      <c r="AA121" s="198"/>
      <c r="AB121" s="198"/>
      <c r="AC121" s="198"/>
      <c r="AD121" s="198"/>
      <c r="AE121" s="198"/>
      <c r="AF121" s="198"/>
      <c r="AG121" s="198"/>
      <c r="AH121" s="198"/>
      <c r="AI121" s="198"/>
      <c r="AJ121" s="198"/>
      <c r="AK121" s="198"/>
    </row>
    <row r="122" spans="1:37" x14ac:dyDescent="0.25">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295"/>
      <c r="Y122" s="198"/>
      <c r="Z122" s="198"/>
      <c r="AA122" s="198"/>
      <c r="AB122" s="198"/>
      <c r="AC122" s="198"/>
      <c r="AD122" s="198"/>
      <c r="AE122" s="198"/>
      <c r="AF122" s="198"/>
      <c r="AG122" s="198"/>
      <c r="AH122" s="198"/>
      <c r="AI122" s="198"/>
      <c r="AJ122" s="198"/>
      <c r="AK122" s="198"/>
    </row>
    <row r="123" spans="1:37" x14ac:dyDescent="0.25">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295"/>
      <c r="Y123" s="198"/>
      <c r="Z123" s="198"/>
      <c r="AA123" s="198"/>
      <c r="AB123" s="198"/>
      <c r="AC123" s="198"/>
      <c r="AD123" s="198"/>
      <c r="AE123" s="198"/>
      <c r="AF123" s="198"/>
      <c r="AG123" s="198"/>
      <c r="AH123" s="198"/>
      <c r="AI123" s="198"/>
      <c r="AJ123" s="198"/>
      <c r="AK123" s="198"/>
    </row>
    <row r="124" spans="1:37" x14ac:dyDescent="0.25">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295"/>
      <c r="Y124" s="198"/>
      <c r="Z124" s="198"/>
      <c r="AA124" s="198"/>
      <c r="AB124" s="198"/>
      <c r="AC124" s="198"/>
      <c r="AD124" s="198"/>
      <c r="AE124" s="198"/>
      <c r="AF124" s="198"/>
      <c r="AG124" s="198"/>
      <c r="AH124" s="198"/>
      <c r="AI124" s="198"/>
      <c r="AJ124" s="198"/>
      <c r="AK124" s="198"/>
    </row>
    <row r="125" spans="1:37" x14ac:dyDescent="0.25">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295"/>
      <c r="Y125" s="198"/>
      <c r="Z125" s="198"/>
      <c r="AA125" s="198"/>
      <c r="AB125" s="198"/>
      <c r="AC125" s="198"/>
      <c r="AD125" s="198"/>
      <c r="AE125" s="198"/>
      <c r="AF125" s="198"/>
      <c r="AG125" s="198"/>
      <c r="AH125" s="198"/>
      <c r="AI125" s="198"/>
      <c r="AJ125" s="198"/>
      <c r="AK125" s="198"/>
    </row>
    <row r="126" spans="1:37" x14ac:dyDescent="0.25">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295"/>
      <c r="Y126" s="198"/>
      <c r="Z126" s="198"/>
      <c r="AA126" s="198"/>
      <c r="AB126" s="198"/>
      <c r="AC126" s="198"/>
      <c r="AD126" s="198"/>
      <c r="AE126" s="198"/>
      <c r="AF126" s="198"/>
      <c r="AG126" s="198"/>
      <c r="AH126" s="198"/>
      <c r="AI126" s="198"/>
      <c r="AJ126" s="198"/>
      <c r="AK126" s="198"/>
    </row>
    <row r="127" spans="1:37" x14ac:dyDescent="0.25">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295"/>
      <c r="Y127" s="198"/>
      <c r="Z127" s="198"/>
      <c r="AA127" s="198"/>
      <c r="AB127" s="198"/>
      <c r="AC127" s="198"/>
      <c r="AD127" s="198"/>
      <c r="AE127" s="198"/>
      <c r="AF127" s="198"/>
      <c r="AG127" s="198"/>
      <c r="AH127" s="198"/>
      <c r="AI127" s="198"/>
      <c r="AJ127" s="198"/>
      <c r="AK127" s="198"/>
    </row>
    <row r="128" spans="1:37" x14ac:dyDescent="0.25">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295"/>
      <c r="Y128" s="198"/>
      <c r="Z128" s="198"/>
      <c r="AA128" s="198"/>
      <c r="AB128" s="198"/>
      <c r="AC128" s="198"/>
      <c r="AD128" s="198"/>
      <c r="AE128" s="198"/>
      <c r="AF128" s="198"/>
      <c r="AG128" s="198"/>
      <c r="AH128" s="198"/>
      <c r="AI128" s="198"/>
      <c r="AJ128" s="198"/>
      <c r="AK128" s="198"/>
    </row>
    <row r="129" spans="1:37" x14ac:dyDescent="0.25">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295"/>
      <c r="Y129" s="198"/>
      <c r="Z129" s="198"/>
      <c r="AA129" s="198"/>
      <c r="AB129" s="198"/>
      <c r="AC129" s="198"/>
      <c r="AD129" s="198"/>
      <c r="AE129" s="198"/>
      <c r="AF129" s="198"/>
      <c r="AG129" s="198"/>
      <c r="AH129" s="198"/>
      <c r="AI129" s="198"/>
      <c r="AJ129" s="198"/>
      <c r="AK129" s="198"/>
    </row>
    <row r="130" spans="1:37" x14ac:dyDescent="0.25">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295"/>
      <c r="Y130" s="198"/>
      <c r="Z130" s="198"/>
      <c r="AA130" s="198"/>
      <c r="AB130" s="198"/>
      <c r="AC130" s="198"/>
      <c r="AD130" s="198"/>
      <c r="AE130" s="198"/>
      <c r="AF130" s="198"/>
      <c r="AG130" s="198"/>
      <c r="AH130" s="198"/>
      <c r="AI130" s="198"/>
      <c r="AJ130" s="198"/>
      <c r="AK130" s="198"/>
    </row>
  </sheetData>
  <mergeCells count="16">
    <mergeCell ref="C2:G2"/>
    <mergeCell ref="X5:X37"/>
    <mergeCell ref="D5:F5"/>
    <mergeCell ref="P2:S3"/>
    <mergeCell ref="V10:V11"/>
    <mergeCell ref="H26:J26"/>
    <mergeCell ref="L26:N26"/>
    <mergeCell ref="P26:R26"/>
    <mergeCell ref="J4:N4"/>
    <mergeCell ref="H11:J11"/>
    <mergeCell ref="V32:V34"/>
    <mergeCell ref="L11:N11"/>
    <mergeCell ref="P11:R11"/>
    <mergeCell ref="L8:R8"/>
    <mergeCell ref="V13:V15"/>
    <mergeCell ref="V19:V21"/>
  </mergeCells>
  <phoneticPr fontId="6" type="noConversion"/>
  <conditionalFormatting sqref="F12:F13 H12:H13 J12:J13 C15:D15 C17:D17 C19:D19 L12:L13 F15 F17 F19 H15 H17 H19 J15 J17 J19 L15 L19 L17 C21:L21">
    <cfRule type="expression" dxfId="59" priority="3" stopIfTrue="1">
      <formula>IF($F$6="",FALSE,TRUE)</formula>
    </cfRule>
  </conditionalFormatting>
  <conditionalFormatting sqref="H11:J11 L11:N11 P11:R11">
    <cfRule type="expression" dxfId="58" priority="4" stopIfTrue="1">
      <formula>IF($H$11="",FALSE,TRUE)</formula>
    </cfRule>
  </conditionalFormatting>
  <conditionalFormatting sqref="R19 N15 N17 N19 N12:N13 P15 R12:R13 P17 P19 P12:P13 R15 R17 M21:R21">
    <cfRule type="expression" dxfId="57" priority="5" stopIfTrue="1">
      <formula>IF($L$11="",FALSE,TRUE)</formula>
    </cfRule>
  </conditionalFormatting>
  <conditionalFormatting sqref="C24:J24">
    <cfRule type="expression" dxfId="56" priority="6" stopIfTrue="1">
      <formula>IF($P$9=1,FALSE,TRUE)</formula>
    </cfRule>
  </conditionalFormatting>
  <conditionalFormatting sqref="F27:F28 H27:H28 J27:J28 C34:L34 C30:D30 F30 H30 J30 L30 C32:D32 F32 H32 J32 L32 L28">
    <cfRule type="expression" dxfId="55" priority="7" stopIfTrue="1">
      <formula>IF($P$9=1,FALSE,TRUE)</formula>
    </cfRule>
  </conditionalFormatting>
  <conditionalFormatting sqref="C6">
    <cfRule type="expression" dxfId="54" priority="8" stopIfTrue="1">
      <formula>IF($F$6="",TRUE,FALSE)</formula>
    </cfRule>
  </conditionalFormatting>
  <conditionalFormatting sqref="P6">
    <cfRule type="expression" dxfId="53" priority="9" stopIfTrue="1">
      <formula>IF($P$5="",FALSE,TRUE)</formula>
    </cfRule>
  </conditionalFormatting>
  <conditionalFormatting sqref="H26:J26 L26:N26 P26:R26">
    <cfRule type="expression" dxfId="52" priority="10" stopIfTrue="1">
      <formula>IF($F$6="",TRUE,FALSE)</formula>
    </cfRule>
    <cfRule type="expression" dxfId="51" priority="11" stopIfTrue="1">
      <formula>IF($H$26="",FALSE,TRUE)</formula>
    </cfRule>
  </conditionalFormatting>
  <conditionalFormatting sqref="L27">
    <cfRule type="expression" dxfId="50" priority="12" stopIfTrue="1">
      <formula>IF($F$6="",TRUE,FALSE)</formula>
    </cfRule>
    <cfRule type="expression" dxfId="49" priority="13" stopIfTrue="1">
      <formula>IF($P$9=1,FALSE,TRUE)</formula>
    </cfRule>
  </conditionalFormatting>
  <conditionalFormatting sqref="N27:N28 P27:P28 R27:R28 N30 N32 P30 P32 R30 R32 M34:R34">
    <cfRule type="expression" dxfId="48" priority="14" stopIfTrue="1">
      <formula>IF($F$6="",TRUE,FALSE)</formula>
    </cfRule>
    <cfRule type="expression" dxfId="47" priority="15" stopIfTrue="1">
      <formula>IF($L$26="",TRUE,FALSE)</formula>
    </cfRule>
    <cfRule type="expression" dxfId="46" priority="16" stopIfTrue="1">
      <formula>IF($P$9=1,FALSE,TRUE)</formula>
    </cfRule>
  </conditionalFormatting>
  <conditionalFormatting sqref="X5:X37">
    <cfRule type="expression" dxfId="45" priority="2" stopIfTrue="1">
      <formula>IF($AL$3&gt;0,TRUE,FALSE)</formula>
    </cfRule>
  </conditionalFormatting>
  <conditionalFormatting sqref="X4">
    <cfRule type="expression" dxfId="44" priority="1" stopIfTrue="1">
      <formula>IF($AL$3&gt;0,TRUE,FALSE)</formula>
    </cfRule>
  </conditionalFormatting>
  <hyperlinks>
    <hyperlink ref="P2:S3" location="'Internetfenster 2'!F6" display="Gehe zu Vergleichsbetrieb à"/>
    <hyperlink ref="V13:V14" location="Pacht!A1" display="Zu-/Verpachtung bzw. Zu-/Verkauf"/>
    <hyperlink ref="V10:V11" location="'Beiträge NT'!A1" display="Beiträge aus Nebentätigkeiten à"/>
    <hyperlink ref="V8" location="'Beiträge aus EHW'!I5" display="Beiträge aus dem Einheitswert à"/>
    <hyperlink ref="V5" location="'Info &amp; Navigation'!A1" display="Einstiegsbildschirm"/>
    <hyperlink ref="V23" location="'BTG und Beitragssatz'!A1" display="Beitragsgrundlage &amp; Beitragssatz"/>
    <hyperlink ref="V19:V20" location="Pacht!A1" display="Zu-/Verpachtung bzw. Zu-/Verkauf"/>
    <hyperlink ref="V13:V15" location="EHW!E5" display="EHW!E5"/>
    <hyperlink ref="V32" location="Angehörige!I5" display="Angehörige!I5"/>
    <hyperlink ref="V28" location="'Höchst-BTG'!A1" display="Höchst-Beitragsgrundlagen"/>
    <hyperlink ref="V26" location="'Mindest-BTG'!A1" display="Mindest-Beitragsgrundlagen"/>
  </hyperlinks>
  <printOptions horizontalCentered="1"/>
  <pageMargins left="0.59055118110236227" right="0.59055118110236227" top="0.59055118110236227" bottom="0.59055118110236227" header="0.51181102362204722" footer="0.31496062992125984"/>
  <pageSetup paperSize="9" scale="98" orientation="landscape" r:id="rId1"/>
  <headerFooter alignWithMargins="0">
    <oddFooter>&amp;L&amp;8SVB-Beitragsberechnungsprogramm&amp;C&amp;8Bitte beachten: Die ermittelten Ergebnisse dienen lediglich der Information und sind &amp;Uunverbindlich!&amp;R&amp;8&amp;D</oddFooter>
  </headerFooter>
  <colBreaks count="1" manualBreakCount="1">
    <brk id="19" max="5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0</xdr:colOff>
                    <xdr:row>3</xdr:row>
                    <xdr:rowOff>0</xdr:rowOff>
                  </from>
                  <to>
                    <xdr:col>5</xdr:col>
                    <xdr:colOff>838200</xdr:colOff>
                    <xdr:row>4</xdr:row>
                    <xdr:rowOff>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0</xdr:colOff>
                    <xdr:row>7</xdr:row>
                    <xdr:rowOff>0</xdr:rowOff>
                  </from>
                  <to>
                    <xdr:col>9</xdr:col>
                    <xdr:colOff>502920</xdr:colOff>
                    <xdr:row>8</xdr:row>
                    <xdr:rowOff>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13</xdr:col>
                    <xdr:colOff>121920</xdr:colOff>
                    <xdr:row>8</xdr:row>
                    <xdr:rowOff>0</xdr:rowOff>
                  </from>
                  <to>
                    <xdr:col>17</xdr:col>
                    <xdr:colOff>868680</xdr:colOff>
                    <xdr:row>9</xdr:row>
                    <xdr:rowOff>0</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23</xdr:col>
                    <xdr:colOff>7620</xdr:colOff>
                    <xdr:row>0</xdr:row>
                    <xdr:rowOff>144780</xdr:rowOff>
                  </from>
                  <to>
                    <xdr:col>23</xdr:col>
                    <xdr:colOff>312420</xdr:colOff>
                    <xdr:row>2</xdr:row>
                    <xdr:rowOff>60960</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23</xdr:col>
                    <xdr:colOff>7620</xdr:colOff>
                    <xdr:row>2</xdr:row>
                    <xdr:rowOff>7620</xdr:rowOff>
                  </from>
                  <to>
                    <xdr:col>23</xdr:col>
                    <xdr:colOff>312420</xdr:colOff>
                    <xdr:row>2</xdr:row>
                    <xdr:rowOff>175260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AY560"/>
  <sheetViews>
    <sheetView showGridLines="0" zoomScaleNormal="100" workbookViewId="0">
      <selection activeCell="F6" sqref="F6"/>
    </sheetView>
  </sheetViews>
  <sheetFormatPr baseColWidth="10" defaultColWidth="11.59765625" defaultRowHeight="13.8" x14ac:dyDescent="0.25"/>
  <cols>
    <col min="1" max="1" width="6.59765625" customWidth="1"/>
    <col min="2" max="2" width="1.59765625" customWidth="1"/>
    <col min="3" max="3" width="11.59765625" customWidth="1"/>
    <col min="4" max="4" width="16.5" customWidth="1"/>
    <col min="5" max="5" width="1.59765625" customWidth="1"/>
    <col min="6" max="6" width="11.59765625" customWidth="1"/>
    <col min="7" max="7" width="1.59765625" customWidth="1"/>
    <col min="8" max="8" width="11.59765625" customWidth="1"/>
    <col min="9" max="9" width="1.59765625" customWidth="1"/>
    <col min="10" max="10" width="11.59765625" customWidth="1"/>
    <col min="11" max="11" width="1.59765625" customWidth="1"/>
    <col min="12" max="12" width="11.59765625" customWidth="1"/>
    <col min="13" max="13" width="1.59765625" customWidth="1"/>
    <col min="14" max="14" width="11.59765625" customWidth="1"/>
    <col min="15" max="15" width="1.59765625" customWidth="1"/>
    <col min="16" max="16" width="11.59765625" customWidth="1"/>
    <col min="17" max="17" width="1.59765625" customWidth="1"/>
    <col min="18" max="18" width="11.59765625" customWidth="1"/>
    <col min="19" max="19" width="1.59765625" customWidth="1"/>
    <col min="20" max="20" width="1.5" customWidth="1"/>
    <col min="21" max="21" width="1.59765625" customWidth="1"/>
    <col min="22" max="22" width="30.59765625" customWidth="1"/>
    <col min="23" max="23" width="3.59765625" customWidth="1"/>
    <col min="24" max="24" width="3.59765625" style="324" customWidth="1"/>
    <col min="25" max="25" width="48.59765625" customWidth="1"/>
  </cols>
  <sheetData>
    <row r="1" spans="1:51" x14ac:dyDescent="0.25">
      <c r="A1" s="198"/>
      <c r="B1" s="198"/>
      <c r="C1" s="198"/>
      <c r="D1" s="198"/>
      <c r="E1" s="198"/>
      <c r="F1" s="198"/>
      <c r="G1" s="198"/>
      <c r="H1" s="198"/>
      <c r="I1" s="198"/>
      <c r="J1" s="198"/>
      <c r="K1" s="198"/>
      <c r="L1" s="198"/>
      <c r="M1" s="198"/>
      <c r="N1" s="198"/>
      <c r="O1" s="198"/>
      <c r="P1" s="198"/>
      <c r="Q1" s="198"/>
      <c r="R1" s="198"/>
      <c r="S1" s="198"/>
      <c r="T1" s="198"/>
      <c r="U1" s="198"/>
      <c r="V1" s="198"/>
      <c r="W1" s="198"/>
      <c r="X1" s="322"/>
      <c r="Y1" s="198"/>
      <c r="Z1" s="244"/>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317">
        <f>Bedienungsanleitungen!N36</f>
        <v>0</v>
      </c>
      <c r="AY1" s="327">
        <f>Bedienungsanleitungen!AB36</f>
        <v>0</v>
      </c>
    </row>
    <row r="2" spans="1:51" x14ac:dyDescent="0.25">
      <c r="A2" s="198"/>
      <c r="C2" s="349" t="s">
        <v>332</v>
      </c>
      <c r="D2" s="349"/>
      <c r="E2" s="349"/>
      <c r="F2" s="349"/>
      <c r="G2" s="349"/>
      <c r="P2" s="352" t="s">
        <v>254</v>
      </c>
      <c r="Q2" s="352"/>
      <c r="R2" s="352"/>
      <c r="S2" s="352"/>
      <c r="T2" s="198"/>
      <c r="U2" s="198"/>
      <c r="V2" s="243" t="s">
        <v>261</v>
      </c>
      <c r="W2" s="198"/>
      <c r="X2" s="322"/>
      <c r="Y2" s="314" t="s">
        <v>272</v>
      </c>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319" t="s">
        <v>278</v>
      </c>
    </row>
    <row r="3" spans="1:51" x14ac:dyDescent="0.25">
      <c r="A3" s="198"/>
      <c r="P3" s="352"/>
      <c r="Q3" s="352"/>
      <c r="R3" s="352"/>
      <c r="S3" s="352"/>
      <c r="T3" s="198"/>
      <c r="U3" s="198"/>
      <c r="V3" s="243" t="s">
        <v>132</v>
      </c>
      <c r="W3" s="198"/>
      <c r="X3" s="320" t="str">
        <f>IF(AX$1=0,AX$3,"")</f>
        <v>â</v>
      </c>
      <c r="Y3" s="222" t="str">
        <f>IF(AX1=0,"für zusätzliche Info - Kästchen (Pfeil grün) aktivieren",IF(AX1=1,"zurück zur Übersicht - Kästchen (Pfeil rot) deaktivieren",IF(AX1&gt;1,"Achtung: Nur ein Kästchen aktivieren!","")))</f>
        <v>für zusätzliche Info - Kästchen (Pfeil grün) aktivieren</v>
      </c>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319" t="s">
        <v>277</v>
      </c>
    </row>
    <row r="4" spans="1:51" ht="15.9" customHeight="1" x14ac:dyDescent="0.25">
      <c r="A4" s="198"/>
      <c r="C4" t="s">
        <v>117</v>
      </c>
      <c r="E4" s="294" t="s">
        <v>268</v>
      </c>
      <c r="J4" s="354" t="s">
        <v>118</v>
      </c>
      <c r="K4" s="354"/>
      <c r="L4" s="354"/>
      <c r="M4" s="354"/>
      <c r="N4" s="354"/>
      <c r="T4" s="198"/>
      <c r="U4" s="198"/>
      <c r="V4" s="302"/>
      <c r="W4" s="198"/>
      <c r="X4" s="322"/>
      <c r="Y4" s="314" t="str">
        <f>IF(Bedienungsanleitungen!P35=1,Bedienungsanleitungen!P4,IF(Bedienungsanleitungen!R35=2,Bedienungsanleitungen!R4,IF(Bedienungsanleitungen!T35=3,Bedienungsanleitungen!T4,IF(Bedienungsanleitungen!V35=4,Bedienungsanleitungen!V4,IF(Bedienungsanleitungen!X35=5,Bedienungsanleitungen!X4,IF(Bedienungsanleitungen!Z35=6,Bedienungsanleitungen!Z4,IF(Bedienungsanleitungen!AB35=7,Bedienungsanleitungen!AB4,Bedienungsanleitungen!J4)))))))</f>
        <v>Was kann verglichen werden?</v>
      </c>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319" t="s">
        <v>279</v>
      </c>
    </row>
    <row r="5" spans="1:51" ht="27.6" x14ac:dyDescent="0.25">
      <c r="A5" s="198"/>
      <c r="D5" s="351" t="str">
        <f>IF(VLOOKUP('Verknüpfungen 2'!A2,Wertedatenbank!A3:B21,Wertedatenbank!B22)=1,"Werte für "&amp;'Verknüpfungen 2'!A2&amp;" noch nicht vorhanden. Berechnung erfolgt auf Basis "&amp;'Verknüpfungen 1'!A6&amp;"!","")</f>
        <v/>
      </c>
      <c r="E5" s="351"/>
      <c r="F5" s="351"/>
      <c r="J5" s="126" t="s">
        <v>122</v>
      </c>
      <c r="K5" s="1"/>
      <c r="L5" s="126" t="s">
        <v>123</v>
      </c>
      <c r="M5" s="1"/>
      <c r="N5" s="126" t="s">
        <v>124</v>
      </c>
      <c r="P5" s="126" t="str">
        <f>IF(J6="",IF(L6="",IF(N6="","","Gesamt-umsatz"),"Gesamt-umsatz"),"Gesamt-umsatz")</f>
        <v/>
      </c>
      <c r="T5" s="198"/>
      <c r="U5" s="198"/>
      <c r="V5" s="333" t="s">
        <v>327</v>
      </c>
      <c r="W5" s="198"/>
      <c r="X5" s="323" t="str">
        <f>IF(AX$1=0,AX$3,"")</f>
        <v>â</v>
      </c>
      <c r="Y5" s="357" t="str">
        <f>IF(Bedienungsanleitungen!P35=1,Bedienungsanleitungen!P5,IF(Bedienungsanleitungen!R35=2,Bedienungsanleitungen!R5,IF(Bedienungsanleitungen!T35=3,Bedienungsanleitungen!T5,IF(Bedienungsanleitungen!V35=4,Bedienungsanleitungen!V5,IF(Bedienungsanleitungen!X35=5,Bedienungsanleitungen!X5,IF(Bedienungsanleitungen!Z35=6,Bedienungsanleitungen!Z5,IF(Bedienungsanleitungen!AB35=7,Bedienungsanleitungen!AB5,Bedienungsanleitungen!J5)))))))</f>
        <v>Mit Eingaben im Fenster Vergleichsbetrieb können folgende Veränderungen und deren Auswirkungen auf die zu entrichtenden Beiträge gegenüber dem Ausgangsbetrieb errechnet und dargestellt werden: 
-  Auswirkung von Einheitswertänderungen (z.B. durch 
   EHW-Hauptfeststellung)
-  Auswirkung von Einnahmen aus bäuerlichen 
   Nebentätigkeiten
-  Auswirkung einer Änderung der Betriebsführungsform
-  Auswirkung der Betriebsführung mit einem 
   Miteigentümer (z.B. Sohn gemeinsam mit Mutter)
-  Auswirkungen einer hauptberuflichen Beschäftigung 
   eines Angehörigen
-  Auswirkungen der jährlichen Aufwertung bei der Berech-
   nung der Beitragsgrundlage bzw. einer allfälligen gesetz-
   lichen Änderung z.B. der Beitragssätze
-  Auswirkung von Zu- und/oder Verpachtungen bzw. 
   Zukäufen, Verkäufen Nutzungsvereinbarungen etc.
Nähere Infos zur Bedienung können durch Klicken auf das jeweilige Kästchen links neben dem Text aufgerufen werden.</v>
      </c>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319" t="s">
        <v>280</v>
      </c>
    </row>
    <row r="6" spans="1:51" x14ac:dyDescent="0.25">
      <c r="A6" s="198"/>
      <c r="C6" t="str">
        <f>IF(F6="","Bitte Einheitswert eingeben","Einheitswert")</f>
        <v>Bitte Einheitswert eingeben</v>
      </c>
      <c r="E6" s="291" t="s">
        <v>262</v>
      </c>
      <c r="F6" s="290"/>
      <c r="G6" s="122"/>
      <c r="I6" s="291" t="s">
        <v>263</v>
      </c>
      <c r="J6" s="292"/>
      <c r="K6" s="293" t="s">
        <v>264</v>
      </c>
      <c r="L6" s="292"/>
      <c r="M6" s="293" t="s">
        <v>265</v>
      </c>
      <c r="N6" s="292"/>
      <c r="P6" s="2" t="str">
        <f>IF(P5="","",J6+L6+N6)</f>
        <v/>
      </c>
      <c r="T6" s="198"/>
      <c r="U6" s="198"/>
      <c r="V6" s="301"/>
      <c r="W6" s="198"/>
      <c r="X6" s="320" t="str">
        <f>IF(AX$1=0,AX$3,"")</f>
        <v>â</v>
      </c>
      <c r="Y6" s="357"/>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row>
    <row r="7" spans="1:51" x14ac:dyDescent="0.25">
      <c r="A7" s="198"/>
      <c r="F7" s="124"/>
      <c r="J7" s="315" t="str">
        <f>IF(J6="","",IF(F6="","Einheitswert eingeben!",IF('Verknüpfungen 2'!A19=FALSE,"Zahl eigeben!","")))</f>
        <v/>
      </c>
      <c r="L7" s="315" t="str">
        <f>IF(L6="","",IF(F6="","Einheitswert eingeben!",IF('Verknüpfungen 2'!A20=FALSE,"Zahl eigeben!","")))</f>
        <v/>
      </c>
      <c r="N7" s="315" t="str">
        <f>IF(N6="","",IF(F6="","Einheitswert eingeben!",IF('Verknüpfungen 2'!A21=FALSE,"Zahl eigeben!","")))</f>
        <v/>
      </c>
      <c r="T7" s="198"/>
      <c r="U7" s="198"/>
      <c r="V7" s="302"/>
      <c r="W7" s="198"/>
      <c r="X7" s="322"/>
      <c r="Y7" s="357"/>
      <c r="Z7" s="244"/>
      <c r="AA7" s="198"/>
      <c r="AB7" s="198"/>
      <c r="AC7" s="198"/>
      <c r="AD7" s="198"/>
      <c r="AE7" s="198"/>
      <c r="AF7" s="198"/>
      <c r="AG7" s="198"/>
      <c r="AH7" s="198"/>
      <c r="AI7" s="198"/>
      <c r="AJ7" s="198"/>
      <c r="AK7" s="198"/>
      <c r="AL7" s="198"/>
      <c r="AM7" s="198"/>
      <c r="AN7" s="198"/>
      <c r="AO7" s="198"/>
      <c r="AP7" s="198"/>
      <c r="AQ7" s="198"/>
      <c r="AR7" s="198"/>
      <c r="AS7" s="198"/>
      <c r="AT7" s="198"/>
      <c r="AU7" s="198"/>
      <c r="AV7" s="198"/>
      <c r="AW7" s="198"/>
    </row>
    <row r="8" spans="1:51" ht="15.9" customHeight="1" x14ac:dyDescent="0.25">
      <c r="A8" s="198"/>
      <c r="C8" t="s">
        <v>119</v>
      </c>
      <c r="E8" s="294" t="s">
        <v>266</v>
      </c>
      <c r="L8" s="356" t="s">
        <v>125</v>
      </c>
      <c r="M8" s="356"/>
      <c r="N8" s="356"/>
      <c r="O8" s="356"/>
      <c r="P8" s="356"/>
      <c r="Q8" s="356"/>
      <c r="R8" s="356"/>
      <c r="T8" s="198"/>
      <c r="U8" s="198"/>
      <c r="V8" s="301" t="s">
        <v>256</v>
      </c>
      <c r="W8" s="321">
        <f>Bedienungsanleitungen!P36</f>
        <v>0</v>
      </c>
      <c r="X8" s="320" t="str">
        <f>IF(AX$1=0,AX$4,IF(W8=1,AX$5,""))</f>
        <v>Þ</v>
      </c>
      <c r="Y8" s="357"/>
      <c r="Z8" s="244"/>
      <c r="AA8" s="198"/>
      <c r="AB8" s="198"/>
      <c r="AC8" s="198"/>
      <c r="AD8" s="198"/>
      <c r="AE8" s="198"/>
      <c r="AF8" s="198"/>
      <c r="AG8" s="198"/>
      <c r="AH8" s="198"/>
      <c r="AI8" s="198"/>
      <c r="AJ8" s="198"/>
      <c r="AK8" s="198"/>
      <c r="AL8" s="198"/>
      <c r="AM8" s="198"/>
      <c r="AN8" s="198"/>
      <c r="AO8" s="198"/>
      <c r="AP8" s="198"/>
      <c r="AQ8" s="198"/>
      <c r="AR8" s="198"/>
      <c r="AS8" s="198"/>
      <c r="AT8" s="198"/>
      <c r="AU8" s="198"/>
      <c r="AV8" s="198"/>
      <c r="AW8" s="198"/>
    </row>
    <row r="9" spans="1:51" ht="15.9" customHeight="1" x14ac:dyDescent="0.25">
      <c r="A9" s="198"/>
      <c r="N9" s="294" t="s">
        <v>267</v>
      </c>
      <c r="P9">
        <f>IF(F6="",1,'Verknüpfungen 2'!H7)</f>
        <v>1</v>
      </c>
      <c r="T9" s="198"/>
      <c r="U9" s="198"/>
      <c r="V9" s="302"/>
      <c r="W9" s="198"/>
      <c r="X9" s="322"/>
      <c r="Y9" s="357"/>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row>
    <row r="10" spans="1:51" ht="9" customHeight="1" x14ac:dyDescent="0.25">
      <c r="A10" s="198"/>
      <c r="T10" s="198"/>
      <c r="U10" s="198"/>
      <c r="V10" s="352" t="s">
        <v>257</v>
      </c>
      <c r="W10" s="198"/>
      <c r="X10" s="322"/>
      <c r="Y10" s="357"/>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row>
    <row r="11" spans="1:51" x14ac:dyDescent="0.25">
      <c r="A11" s="198"/>
      <c r="H11" s="353" t="str">
        <f>IF('Verknüpfungen 2'!H1=2,"Ehegatte 1",IF('Verknüpfungen 2'!H1=3,"Ehegatte 1",IF('Verknüpfungen 2'!H1=4,"Betriebsführer 1","")))</f>
        <v/>
      </c>
      <c r="I11" s="353"/>
      <c r="J11" s="353"/>
      <c r="L11" s="353" t="str">
        <f>IF('Verknüpfungen 2'!H1=2,"Ehegatte 2",IF('Verknüpfungen 2'!H1=3,"Ehegatte 2",IF('Verknüpfungen 2'!H1=4,"Betriebsführer 2","")))</f>
        <v/>
      </c>
      <c r="M11" s="353"/>
      <c r="N11" s="353"/>
      <c r="P11" s="353" t="str">
        <f>IF(L11="","","zusammen")</f>
        <v/>
      </c>
      <c r="Q11" s="353"/>
      <c r="R11" s="353"/>
      <c r="T11" s="198"/>
      <c r="U11" s="198"/>
      <c r="V11" s="352"/>
      <c r="W11" s="321">
        <f>Bedienungsanleitungen!R36</f>
        <v>0</v>
      </c>
      <c r="X11" s="358" t="str">
        <f>IF(AX$1=0,AX$4,IF(W11=1,AX$5,""))</f>
        <v>Þ</v>
      </c>
      <c r="Y11" s="357"/>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row>
    <row r="12" spans="1:51" x14ac:dyDescent="0.25">
      <c r="A12" s="198"/>
      <c r="C12" s="200"/>
      <c r="D12" s="200"/>
      <c r="E12" s="200"/>
      <c r="F12" s="201" t="str">
        <f>IF($F$6="","","Beitrags-")</f>
        <v/>
      </c>
      <c r="G12" s="201"/>
      <c r="H12" s="201" t="str">
        <f>IF($F$6="","","Beitrags-")</f>
        <v/>
      </c>
      <c r="I12" s="201"/>
      <c r="J12" s="201" t="str">
        <f>IF($F$6="","","monatlicher")</f>
        <v/>
      </c>
      <c r="K12" s="200"/>
      <c r="L12" s="201" t="str">
        <f>IF($F$6="","",IF('Verknüpfungen 2'!H1=1,"Beitrag","Beitrags-"))</f>
        <v/>
      </c>
      <c r="N12" s="201" t="str">
        <f>IF($F$6="","",IF('Verknüpfungen 2'!$H$1=1,"","monatlicher"))</f>
        <v/>
      </c>
      <c r="O12" s="200"/>
      <c r="P12" s="201" t="str">
        <f>IF($F$6="","",IF('Verknüpfungen 2'!$H$1=1,"","monatlicher"))</f>
        <v/>
      </c>
      <c r="Q12" s="200"/>
      <c r="R12" s="201" t="str">
        <f>IF($F$6="","",IF('Verknüpfungen 2'!$H$1=1,"","pro"))</f>
        <v/>
      </c>
      <c r="T12" s="198"/>
      <c r="U12" s="198"/>
      <c r="V12" s="303"/>
      <c r="W12" s="198"/>
      <c r="X12" s="358"/>
      <c r="Y12" s="357"/>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row>
    <row r="13" spans="1:51" x14ac:dyDescent="0.25">
      <c r="A13" s="198"/>
      <c r="C13" s="200"/>
      <c r="D13" s="200"/>
      <c r="E13" s="200"/>
      <c r="F13" s="201" t="str">
        <f>IF($F$6="","","satz")</f>
        <v/>
      </c>
      <c r="G13" s="201"/>
      <c r="H13" s="201" t="str">
        <f>IF($F$6="","","grundlage")</f>
        <v/>
      </c>
      <c r="I13" s="201"/>
      <c r="J13" s="201" t="str">
        <f>IF($F$6="","","Beitrag")</f>
        <v/>
      </c>
      <c r="K13" s="200"/>
      <c r="L13" s="201" t="str">
        <f>IF($F$6="","",IF('Verknüpfungen 2'!H1=1,"pro Quartal","grundlage"))</f>
        <v/>
      </c>
      <c r="N13" s="201" t="str">
        <f>IF($F$6="","",IF('Verknüpfungen 2'!$H$1=1,"","Beitrag"))</f>
        <v/>
      </c>
      <c r="O13" s="200"/>
      <c r="P13" s="201" t="str">
        <f>IF($F$6="","",IF('Verknüpfungen 2'!$H$1=1,"","Beitrag"))</f>
        <v/>
      </c>
      <c r="Q13" s="200"/>
      <c r="R13" s="201" t="str">
        <f>IF($F$6="","",IF('Verknüpfungen 2'!$H$1=1,"","Quartal"))</f>
        <v/>
      </c>
      <c r="T13" s="198"/>
      <c r="U13" s="198"/>
      <c r="V13" s="355" t="s">
        <v>295</v>
      </c>
      <c r="W13" s="198"/>
      <c r="X13" s="322"/>
      <c r="Y13" s="357"/>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row>
    <row r="14" spans="1:51" ht="3" customHeight="1" x14ac:dyDescent="0.25">
      <c r="A14" s="198"/>
      <c r="C14" s="200"/>
      <c r="D14" s="200"/>
      <c r="E14" s="200"/>
      <c r="F14" s="201"/>
      <c r="G14" s="201"/>
      <c r="H14" s="201"/>
      <c r="I14" s="201"/>
      <c r="J14" s="201"/>
      <c r="K14" s="200"/>
      <c r="L14" s="200"/>
      <c r="N14" s="200"/>
      <c r="O14" s="200"/>
      <c r="P14" s="200"/>
      <c r="Q14" s="200"/>
      <c r="R14" s="200"/>
      <c r="T14" s="198"/>
      <c r="U14" s="198"/>
      <c r="V14" s="352"/>
      <c r="W14" s="198"/>
      <c r="X14" s="322"/>
      <c r="Y14" s="357"/>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row>
    <row r="15" spans="1:51" x14ac:dyDescent="0.25">
      <c r="A15" s="198"/>
      <c r="C15" s="202" t="str">
        <f>IF($F$6="","","Unfallversicherung")</f>
        <v/>
      </c>
      <c r="D15" s="201"/>
      <c r="E15" s="200"/>
      <c r="F15" s="203" t="str">
        <f>IF('Internetfenster 2'!F$6="","",Beitragsberechnung!$I$15)</f>
        <v/>
      </c>
      <c r="G15" s="200"/>
      <c r="H15" s="204" t="str">
        <f>IF(Beitragsberechnung!$J$15="","",Beitragsberechnung!$J$15)</f>
        <v/>
      </c>
      <c r="I15" s="201"/>
      <c r="J15" s="204" t="str">
        <f>IF(Beitragsberechnung!$K$15="","",Beitragsberechnung!$K$15)</f>
        <v/>
      </c>
      <c r="K15" s="201"/>
      <c r="L15" s="204" t="str">
        <f>IF(J15="","",IF('Verknüpfungen 2'!$H$1=1,J15*3,Beitragsberechnung!L15))</f>
        <v/>
      </c>
      <c r="M15" s="123"/>
      <c r="N15" s="204" t="str">
        <f>IF(L11="","",0)</f>
        <v/>
      </c>
      <c r="O15" s="205"/>
      <c r="P15" s="204" t="str">
        <f>IF($L$11="","",J15+N15)</f>
        <v/>
      </c>
      <c r="Q15" s="205"/>
      <c r="R15" s="204" t="str">
        <f>IF($L$11="","",P15*3)</f>
        <v/>
      </c>
      <c r="T15" s="198"/>
      <c r="U15" s="198"/>
      <c r="V15" s="352"/>
      <c r="W15" s="321">
        <f>Bedienungsanleitungen!T$36</f>
        <v>0</v>
      </c>
      <c r="X15" s="320" t="str">
        <f>IF(AX$1=0,AX$4,IF(W15=1,AX$5,""))</f>
        <v>Þ</v>
      </c>
      <c r="Y15" s="357"/>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row>
    <row r="16" spans="1:51" ht="3" customHeight="1" x14ac:dyDescent="0.25">
      <c r="A16" s="198"/>
      <c r="C16" s="200"/>
      <c r="D16" s="200"/>
      <c r="E16" s="200"/>
      <c r="F16" s="203"/>
      <c r="G16" s="200"/>
      <c r="H16" s="201"/>
      <c r="I16" s="201"/>
      <c r="J16" s="204"/>
      <c r="K16" s="201"/>
      <c r="L16" s="204"/>
      <c r="M16" s="123"/>
      <c r="N16" s="204"/>
      <c r="O16" s="205"/>
      <c r="P16" s="204"/>
      <c r="Q16" s="205"/>
      <c r="R16" s="204"/>
      <c r="T16" s="198"/>
      <c r="U16" s="198"/>
      <c r="V16" s="303"/>
      <c r="W16" s="321"/>
      <c r="X16" s="322"/>
      <c r="Y16" s="357"/>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row>
    <row r="17" spans="1:49" x14ac:dyDescent="0.25">
      <c r="A17" s="198"/>
      <c r="C17" s="202" t="str">
        <f>IF($F$6="","","Krankenversicherung")</f>
        <v/>
      </c>
      <c r="D17" s="201"/>
      <c r="E17" s="200"/>
      <c r="F17" s="203" t="str">
        <f>IF('Internetfenster 2'!F$6="","",Beitragsberechnung!$I$16)</f>
        <v/>
      </c>
      <c r="G17" s="200"/>
      <c r="H17" s="204" t="str">
        <f>IF(Beitragsberechnung!$J$16="","",Beitragsberechnung!$J$16)</f>
        <v/>
      </c>
      <c r="I17" s="201"/>
      <c r="J17" s="204" t="str">
        <f>IF(Beitragsberechnung!$K$16="","",Beitragsberechnung!$K$16)</f>
        <v/>
      </c>
      <c r="K17" s="201"/>
      <c r="L17" s="204" t="str">
        <f>IF(J17="","",IF('Verknüpfungen 2'!$H$1=1,J17*3,Beitragsberechnung!L16))</f>
        <v/>
      </c>
      <c r="M17" s="123"/>
      <c r="N17" s="204" t="str">
        <f>IF(L11="","",Beitragsberechnung!M16)</f>
        <v/>
      </c>
      <c r="O17" s="205"/>
      <c r="P17" s="204" t="str">
        <f>IF($L$11="","",J17+N17)</f>
        <v/>
      </c>
      <c r="Q17" s="205"/>
      <c r="R17" s="204" t="str">
        <f>IF($L$11="","",P17*3)</f>
        <v/>
      </c>
      <c r="T17" s="198"/>
      <c r="U17" s="198"/>
      <c r="V17" s="301"/>
      <c r="W17" s="321"/>
      <c r="X17" s="322"/>
      <c r="Y17" s="357"/>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row>
    <row r="18" spans="1:49" ht="3" customHeight="1" x14ac:dyDescent="0.25">
      <c r="A18" s="198"/>
      <c r="C18" s="200"/>
      <c r="D18" s="200"/>
      <c r="E18" s="200"/>
      <c r="F18" s="203"/>
      <c r="G18" s="200"/>
      <c r="H18" s="201"/>
      <c r="I18" s="201"/>
      <c r="J18" s="204"/>
      <c r="K18" s="201"/>
      <c r="L18" s="204"/>
      <c r="M18" s="123"/>
      <c r="N18" s="205"/>
      <c r="O18" s="205"/>
      <c r="P18" s="205"/>
      <c r="Q18" s="205"/>
      <c r="R18" s="205"/>
      <c r="T18" s="198"/>
      <c r="U18" s="198"/>
      <c r="V18" s="303"/>
      <c r="W18" s="321"/>
      <c r="X18" s="322"/>
      <c r="Y18" s="357"/>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row>
    <row r="19" spans="1:49" x14ac:dyDescent="0.25">
      <c r="A19" s="198"/>
      <c r="C19" s="202" t="str">
        <f>IF($F$6="","","Pensionsversicherung")</f>
        <v/>
      </c>
      <c r="D19" s="201"/>
      <c r="E19" s="200"/>
      <c r="F19" s="203" t="str">
        <f>IF('Internetfenster 2'!F$6="","",Beitragsberechnung!$I$17)</f>
        <v/>
      </c>
      <c r="G19" s="200"/>
      <c r="H19" s="204" t="str">
        <f>IF(Beitragsberechnung!$J$17="","",Beitragsberechnung!$J$17)</f>
        <v/>
      </c>
      <c r="I19" s="201"/>
      <c r="J19" s="204" t="str">
        <f>IF(Beitragsberechnung!$K$17="","",Beitragsberechnung!$K$17)</f>
        <v/>
      </c>
      <c r="K19" s="201"/>
      <c r="L19" s="204" t="str">
        <f>IF(J19="","",IF('Verknüpfungen 2'!$H$1=1,J19*3,Beitragsberechnung!L17))</f>
        <v/>
      </c>
      <c r="M19" s="123"/>
      <c r="N19" s="204" t="str">
        <f>IF(L11="","",Beitragsberechnung!M17)</f>
        <v/>
      </c>
      <c r="O19" s="205"/>
      <c r="P19" s="204" t="str">
        <f>IF($L$11="","",J19+N19)</f>
        <v/>
      </c>
      <c r="Q19" s="205"/>
      <c r="R19" s="204" t="str">
        <f>IF($L$11="","",P19*3)</f>
        <v/>
      </c>
      <c r="T19" s="198"/>
      <c r="U19" s="198"/>
      <c r="V19" s="355" t="s">
        <v>287</v>
      </c>
      <c r="W19" s="321">
        <f>Bedienungsanleitungen!V$36</f>
        <v>0</v>
      </c>
      <c r="X19" s="320" t="str">
        <f>IF(AX$1=0,AX$4,IF(W19=1,AX$5,""))</f>
        <v>Þ</v>
      </c>
      <c r="Y19" s="357"/>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row>
    <row r="20" spans="1:49" ht="3" customHeight="1" x14ac:dyDescent="0.25">
      <c r="A20" s="198"/>
      <c r="C20" s="200"/>
      <c r="D20" s="200"/>
      <c r="E20" s="200"/>
      <c r="F20" s="200"/>
      <c r="G20" s="200"/>
      <c r="H20" s="201"/>
      <c r="I20" s="201"/>
      <c r="J20" s="204"/>
      <c r="K20" s="201"/>
      <c r="L20" s="204"/>
      <c r="M20" s="123"/>
      <c r="N20" s="204"/>
      <c r="O20" s="205"/>
      <c r="P20" s="204"/>
      <c r="Q20" s="205"/>
      <c r="R20" s="204"/>
      <c r="T20" s="198"/>
      <c r="U20" s="198"/>
      <c r="V20" s="352"/>
      <c r="W20" s="321"/>
      <c r="X20" s="322"/>
      <c r="Y20" s="357"/>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row>
    <row r="21" spans="1:49" x14ac:dyDescent="0.25">
      <c r="A21" s="198"/>
      <c r="C21" s="202" t="str">
        <f>IF($F$6="","","gesamter Beitrag")</f>
        <v/>
      </c>
      <c r="D21" s="201"/>
      <c r="E21" s="201"/>
      <c r="F21" s="201"/>
      <c r="G21" s="201"/>
      <c r="H21" s="201"/>
      <c r="I21" s="201"/>
      <c r="J21" s="204" t="str">
        <f>IF(Beitragsberechnung!$K$18="","",Beitragsberechnung!$K$18)</f>
        <v/>
      </c>
      <c r="K21" s="201"/>
      <c r="L21" s="204" t="str">
        <f>IF(J21="","",IF('Verknüpfungen 2'!$H$1=1,J21*3,""))</f>
        <v/>
      </c>
      <c r="M21" s="2"/>
      <c r="N21" s="204" t="str">
        <f>IF(L11="","",Beitragsberechnung!M18)</f>
        <v/>
      </c>
      <c r="O21" s="204"/>
      <c r="P21" s="204" t="str">
        <f>IF($L$11="","",J21+N21)</f>
        <v/>
      </c>
      <c r="Q21" s="204"/>
      <c r="R21" s="204" t="str">
        <f>IF($L$11="","",P21*3)</f>
        <v/>
      </c>
      <c r="T21" s="198"/>
      <c r="U21" s="198"/>
      <c r="V21" s="352"/>
      <c r="W21" s="321"/>
      <c r="X21" s="322"/>
      <c r="Y21" s="35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row>
    <row r="22" spans="1:49" ht="6" customHeight="1" x14ac:dyDescent="0.25">
      <c r="A22" s="198"/>
      <c r="C22" s="200"/>
      <c r="D22" s="200"/>
      <c r="E22" s="200"/>
      <c r="F22" s="200"/>
      <c r="G22" s="200"/>
      <c r="H22" s="200"/>
      <c r="I22" s="200"/>
      <c r="J22" s="200"/>
      <c r="K22" s="200"/>
      <c r="L22" s="200"/>
      <c r="N22" s="200"/>
      <c r="O22" s="200"/>
      <c r="P22" s="200"/>
      <c r="Q22" s="200"/>
      <c r="R22" s="200"/>
      <c r="T22" s="198"/>
      <c r="U22" s="198"/>
      <c r="V22" s="352"/>
      <c r="W22" s="321"/>
      <c r="X22" s="322"/>
      <c r="Y22" s="35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row>
    <row r="23" spans="1:49" x14ac:dyDescent="0.25">
      <c r="A23" s="198"/>
      <c r="C23" s="202" t="str">
        <f>IF($F$6="","","Ausgangsbetrieb")</f>
        <v/>
      </c>
      <c r="D23" s="201"/>
      <c r="E23" s="200"/>
      <c r="F23" s="206" t="str">
        <f>IF(F6="","",'Internetfenster 1'!F6)</f>
        <v/>
      </c>
      <c r="G23" s="200"/>
      <c r="H23" s="204" t="str">
        <f>IF(F6="","",IF('Internetfenster 1'!P6="",0,'Internetfenster 1'!P6))</f>
        <v/>
      </c>
      <c r="I23" s="200"/>
      <c r="J23" s="204" t="str">
        <f>IF(F6="","",IF(L21="","",IF('Internetfenster 1'!P21="",'Internetfenster 1'!J21,'Internetfenster 1'!P21)))</f>
        <v/>
      </c>
      <c r="K23" s="200"/>
      <c r="L23" s="204" t="str">
        <f>IF(J23="","",J23*3)</f>
        <v/>
      </c>
      <c r="N23" s="200"/>
      <c r="O23" s="200"/>
      <c r="P23" s="204" t="str">
        <f>IF(F6="","",IF(L21="",IF('Internetfenster 1'!P21="",'Internetfenster 1'!J21,'Internetfenster 1'!P21),""))</f>
        <v/>
      </c>
      <c r="Q23" s="200"/>
      <c r="R23" s="204" t="str">
        <f>IF(P23="","",P23*3)</f>
        <v/>
      </c>
      <c r="T23" s="198"/>
      <c r="U23" s="198"/>
      <c r="V23" s="352"/>
      <c r="W23" s="321">
        <f>Bedienungsanleitungen!X$36</f>
        <v>0</v>
      </c>
      <c r="X23" s="320" t="str">
        <f>IF(AX$1=0,AX$4,IF(W23=1,AX$5,""))</f>
        <v>Þ</v>
      </c>
      <c r="Y23" s="357"/>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row>
    <row r="24" spans="1:49" ht="2.25" customHeight="1" x14ac:dyDescent="0.25">
      <c r="A24" s="198"/>
      <c r="C24" s="1"/>
      <c r="D24" s="1"/>
      <c r="T24" s="198"/>
      <c r="U24" s="198"/>
      <c r="V24" s="352" t="s">
        <v>293</v>
      </c>
      <c r="W24" s="321"/>
      <c r="X24" s="322"/>
      <c r="Y24" s="357"/>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row>
    <row r="25" spans="1:49" ht="14.4" x14ac:dyDescent="0.3">
      <c r="A25" s="198"/>
      <c r="C25" s="207" t="str">
        <f>IF(F6="","",VLOOKUP('Verknüpfungen 1'!H1,'Verknüpfungen 1'!H2:I5,2))</f>
        <v/>
      </c>
      <c r="D25" s="208"/>
      <c r="F25" s="165" t="str">
        <f>IF(F6="","","EHW")</f>
        <v/>
      </c>
      <c r="G25" s="133"/>
      <c r="H25" s="165" t="str">
        <f>IF(F6="","","Umsatz NT")</f>
        <v/>
      </c>
      <c r="J25" s="209" t="str">
        <f>IF($F$6="","",IF(J23="","",J21-J23))</f>
        <v/>
      </c>
      <c r="K25" s="210"/>
      <c r="L25" s="209" t="str">
        <f>IF($F$6="","",IF(L21="","",IF(L23="",L21-0,L21-L23)))</f>
        <v/>
      </c>
      <c r="P25" s="209" t="str">
        <f>IF(F6="","",IF(P23="","",P21-P23))</f>
        <v/>
      </c>
      <c r="Q25" s="211"/>
      <c r="R25" s="209" t="str">
        <f>IF(F6="","",IF(R23="","",R21-R23))</f>
        <v/>
      </c>
      <c r="T25" s="198"/>
      <c r="U25" s="198"/>
      <c r="V25" s="352"/>
      <c r="W25" s="321"/>
      <c r="X25" s="322"/>
      <c r="Y25" s="357"/>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row>
    <row r="26" spans="1:49" ht="14.25" customHeight="1" x14ac:dyDescent="0.25">
      <c r="A26" s="198"/>
      <c r="T26" s="198"/>
      <c r="U26" s="198"/>
      <c r="V26" s="310"/>
      <c r="W26" s="321"/>
      <c r="X26" s="322"/>
      <c r="Y26" s="357"/>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row>
    <row r="27" spans="1:49" x14ac:dyDescent="0.25">
      <c r="A27" s="198"/>
      <c r="C27" s="129" t="str">
        <f>IF('Verknüpfungen 2'!H7&gt;1,"Zusätzliche Beiträge für "&amp;'Verknüpfungen 2'!I14,"")&amp;IF('Verknüpfungen 2'!H7=1,"",":")</f>
        <v/>
      </c>
      <c r="D27" s="129"/>
      <c r="E27" s="129"/>
      <c r="F27" s="129"/>
      <c r="G27" s="129"/>
      <c r="H27" s="129"/>
      <c r="I27" s="129"/>
      <c r="J27" s="129"/>
      <c r="K27" s="129"/>
      <c r="L27" s="129"/>
      <c r="T27" s="198"/>
      <c r="U27" s="198"/>
      <c r="V27" s="352" t="s">
        <v>294</v>
      </c>
      <c r="W27" s="321">
        <f>Bedienungsanleitungen!Z$36</f>
        <v>0</v>
      </c>
      <c r="X27" s="320" t="str">
        <f>IF(AX$1=0,AX$4,IF(W27=1,AX$5,""))</f>
        <v>Þ</v>
      </c>
      <c r="Y27" s="357"/>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row>
    <row r="28" spans="1:49" ht="3.75" customHeight="1" x14ac:dyDescent="0.25">
      <c r="A28" s="198"/>
      <c r="T28" s="198"/>
      <c r="U28" s="198"/>
      <c r="V28" s="352"/>
      <c r="W28" s="321"/>
      <c r="X28" s="322"/>
      <c r="Y28" s="357"/>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row>
    <row r="29" spans="1:49" x14ac:dyDescent="0.25">
      <c r="A29" s="198"/>
      <c r="H29" s="353" t="str">
        <f>IF(F6="","",IF('Verknüpfungen 2'!H7=3,"Kind",""))</f>
        <v/>
      </c>
      <c r="I29" s="353"/>
      <c r="J29" s="353"/>
      <c r="L29" s="353" t="str">
        <f>IF(H29="","","Schwiegerkind")</f>
        <v/>
      </c>
      <c r="M29" s="353"/>
      <c r="N29" s="353"/>
      <c r="P29" s="353" t="str">
        <f>IF(L29="","","zusammen")</f>
        <v/>
      </c>
      <c r="Q29" s="353"/>
      <c r="R29" s="353"/>
      <c r="T29" s="198"/>
      <c r="U29" s="198"/>
      <c r="V29" s="302"/>
      <c r="W29" s="321"/>
      <c r="X29" s="322"/>
      <c r="Y29" s="357"/>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row>
    <row r="30" spans="1:49" s="1" customFormat="1" ht="14.25" customHeight="1" x14ac:dyDescent="0.25">
      <c r="A30" s="199"/>
      <c r="C30" s="130"/>
      <c r="D30" s="130"/>
      <c r="E30" s="130"/>
      <c r="F30" s="201" t="str">
        <f>IF($P$9=1,"","Beitrags-")</f>
        <v/>
      </c>
      <c r="G30" s="201"/>
      <c r="H30" s="201" t="str">
        <f>IF($P$9=1,"","Beitrags-")</f>
        <v/>
      </c>
      <c r="I30" s="201"/>
      <c r="J30" s="201" t="str">
        <f>IF($P$9=1,"","monatlicher")</f>
        <v/>
      </c>
      <c r="K30" s="201"/>
      <c r="L30" s="201" t="str">
        <f>IF($P$9=1,"",IF($P$9=3,"Beitrags-","Beitrag"))</f>
        <v/>
      </c>
      <c r="M30" s="130"/>
      <c r="N30" s="201" t="str">
        <f>IF(F6="","",IF('Verknüpfungen 2'!$H$7=3,"monatlicher",""))</f>
        <v/>
      </c>
      <c r="O30" s="201"/>
      <c r="P30" s="201"/>
      <c r="Q30" s="201"/>
      <c r="R30" s="201" t="str">
        <f>IF(N30="","","pro")</f>
        <v/>
      </c>
      <c r="T30" s="199"/>
      <c r="U30" s="199"/>
      <c r="V30" s="352" t="s">
        <v>259</v>
      </c>
      <c r="W30" s="321"/>
      <c r="X30" s="322"/>
      <c r="Y30" s="357"/>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row>
    <row r="31" spans="1:49" s="1" customFormat="1" x14ac:dyDescent="0.25">
      <c r="A31" s="199"/>
      <c r="C31" s="130"/>
      <c r="D31" s="130"/>
      <c r="E31" s="130"/>
      <c r="F31" s="201" t="str">
        <f>IF($P$9=1,"","satz")</f>
        <v/>
      </c>
      <c r="G31" s="201"/>
      <c r="H31" s="201" t="str">
        <f>IF($P$9=1,"","grundlage")</f>
        <v/>
      </c>
      <c r="I31" s="201"/>
      <c r="J31" s="201" t="str">
        <f>IF($P$9=1,"","Beitrag")</f>
        <v/>
      </c>
      <c r="K31" s="201"/>
      <c r="L31" s="201" t="str">
        <f>IF($P$9=1,"",IF($P$9=3,"grundlage","pro Quartal"))</f>
        <v/>
      </c>
      <c r="M31" s="130"/>
      <c r="N31" s="201" t="str">
        <f>IF(F6="","",IF('Verknüpfungen 2'!$H$7=3,"Beitrag",""))</f>
        <v/>
      </c>
      <c r="O31" s="201"/>
      <c r="P31" s="201" t="str">
        <f>N31</f>
        <v/>
      </c>
      <c r="Q31" s="201"/>
      <c r="R31" s="201" t="str">
        <f>IF(N31="","","Quartal")</f>
        <v/>
      </c>
      <c r="T31" s="199"/>
      <c r="U31" s="199"/>
      <c r="V31" s="352"/>
      <c r="W31" s="321">
        <f>Bedienungsanleitungen!AB$36</f>
        <v>0</v>
      </c>
      <c r="X31" s="320" t="str">
        <f>IF(AX$1=0,AX$4,IF(W31=1,AX$5,""))</f>
        <v>Þ</v>
      </c>
      <c r="Y31" s="357"/>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row>
    <row r="32" spans="1:49" ht="3" customHeight="1" x14ac:dyDescent="0.25">
      <c r="A32" s="198"/>
      <c r="C32" s="131"/>
      <c r="D32" s="131"/>
      <c r="E32" s="131"/>
      <c r="F32" s="200"/>
      <c r="G32" s="200"/>
      <c r="H32" s="200"/>
      <c r="I32" s="200"/>
      <c r="J32" s="200"/>
      <c r="K32" s="200"/>
      <c r="L32" s="200"/>
      <c r="M32" s="131"/>
      <c r="N32" s="200"/>
      <c r="O32" s="200"/>
      <c r="P32" s="200"/>
      <c r="Q32" s="200"/>
      <c r="R32" s="200"/>
      <c r="T32" s="198"/>
      <c r="U32" s="198"/>
      <c r="V32" s="302"/>
      <c r="W32" s="198"/>
      <c r="X32" s="322"/>
      <c r="Y32" s="357"/>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row>
    <row r="33" spans="1:49" ht="14.25" customHeight="1" x14ac:dyDescent="0.25">
      <c r="A33" s="198"/>
      <c r="C33" s="200" t="str">
        <f>IF($P$9=1,"","Krankenversicherung")</f>
        <v/>
      </c>
      <c r="D33" s="200"/>
      <c r="E33" s="131"/>
      <c r="F33" s="203" t="str">
        <f>IF(P9=1,"",Beitragsberechnung!$I$24)</f>
        <v/>
      </c>
      <c r="G33" s="201"/>
      <c r="H33" s="204" t="str">
        <f>IF(F6="","",Beitragsberechnung!$J$24)</f>
        <v/>
      </c>
      <c r="I33" s="204"/>
      <c r="J33" s="204" t="str">
        <f>IF(F6="","",Beitragsberechnung!$K$24)</f>
        <v/>
      </c>
      <c r="K33" s="204"/>
      <c r="L33" s="204" t="str">
        <f>IF(F6="","",IF('Verknüpfungen 2'!H7=3,Beitragsberechnung!$L$24,IF(J33="","",'Internetfenster 2'!J33*3)))</f>
        <v/>
      </c>
      <c r="M33" s="132"/>
      <c r="N33" s="201" t="str">
        <f>IF(F6="","",IF('Verknüpfungen 2'!$H$7=3,Beitragsberechnung!M24,""))</f>
        <v/>
      </c>
      <c r="O33" s="204"/>
      <c r="P33" s="201" t="str">
        <f>IF(N33="","",J33+N33)</f>
        <v/>
      </c>
      <c r="Q33" s="204"/>
      <c r="R33" s="201" t="str">
        <f>IF(P33="","",P33*3)</f>
        <v/>
      </c>
      <c r="T33" s="198"/>
      <c r="U33" s="198"/>
      <c r="V33" s="355" t="s">
        <v>260</v>
      </c>
      <c r="W33" s="198"/>
      <c r="X33" s="322"/>
      <c r="Y33" s="357"/>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row>
    <row r="34" spans="1:49" ht="3" customHeight="1" x14ac:dyDescent="0.25">
      <c r="A34" s="198"/>
      <c r="C34" s="200"/>
      <c r="D34" s="200"/>
      <c r="E34" s="131"/>
      <c r="F34" s="203"/>
      <c r="G34" s="201"/>
      <c r="H34" s="204"/>
      <c r="I34" s="204"/>
      <c r="J34" s="204"/>
      <c r="K34" s="204"/>
      <c r="L34" s="204"/>
      <c r="M34" s="132"/>
      <c r="N34" s="204"/>
      <c r="O34" s="204"/>
      <c r="P34" s="204"/>
      <c r="Q34" s="204"/>
      <c r="R34" s="204"/>
      <c r="T34" s="198"/>
      <c r="U34" s="198"/>
      <c r="V34" s="355"/>
      <c r="W34" s="198"/>
      <c r="X34" s="322"/>
      <c r="Y34" s="357"/>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row>
    <row r="35" spans="1:49" x14ac:dyDescent="0.25">
      <c r="A35" s="198"/>
      <c r="C35" s="200" t="str">
        <f>IF($P$9=1,"","Pensionsversicherung")</f>
        <v/>
      </c>
      <c r="D35" s="200"/>
      <c r="E35" s="131"/>
      <c r="F35" s="203" t="str">
        <f>IF(P9=1,"",Beitragsberechnung!$I$25)</f>
        <v/>
      </c>
      <c r="G35" s="201"/>
      <c r="H35" s="204" t="str">
        <f>IF(F6="","",Beitragsberechnung!$J$25)</f>
        <v/>
      </c>
      <c r="I35" s="204"/>
      <c r="J35" s="204" t="str">
        <f>IF(F6="","",Beitragsberechnung!$K$25)</f>
        <v/>
      </c>
      <c r="K35" s="204"/>
      <c r="L35" s="204" t="str">
        <f>IF(F6="","",IF('Verknüpfungen 2'!$H$7=3,Beitragsberechnung!$L$25,IF(J35="","",'Internetfenster 2'!J35*3)))</f>
        <v/>
      </c>
      <c r="M35" s="132"/>
      <c r="N35" s="201" t="str">
        <f>IF(F6="","",IF('Verknüpfungen 2'!$H$7=3,Beitragsberechnung!M25,""))</f>
        <v/>
      </c>
      <c r="O35" s="204"/>
      <c r="P35" s="201" t="str">
        <f>IF(N35="","",J35+N35)</f>
        <v/>
      </c>
      <c r="Q35" s="204"/>
      <c r="R35" s="201" t="str">
        <f>IF(P35="","",P35*3)</f>
        <v/>
      </c>
      <c r="T35" s="198"/>
      <c r="U35" s="198"/>
      <c r="V35" s="355"/>
      <c r="W35" s="198"/>
      <c r="X35" s="322"/>
      <c r="Y35" s="357"/>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row>
    <row r="36" spans="1:49" ht="3" customHeight="1" x14ac:dyDescent="0.25">
      <c r="A36" s="198"/>
      <c r="C36" s="200"/>
      <c r="D36" s="200"/>
      <c r="E36" s="131"/>
      <c r="F36" s="201"/>
      <c r="G36" s="201"/>
      <c r="H36" s="204"/>
      <c r="I36" s="204"/>
      <c r="J36" s="204"/>
      <c r="K36" s="204"/>
      <c r="L36" s="204"/>
      <c r="M36" s="132"/>
      <c r="N36" s="204"/>
      <c r="O36" s="204"/>
      <c r="P36" s="204"/>
      <c r="Q36" s="204"/>
      <c r="R36" s="204"/>
      <c r="T36" s="198"/>
      <c r="U36" s="198"/>
      <c r="V36" s="302"/>
      <c r="W36" s="198"/>
      <c r="X36" s="322"/>
      <c r="Y36" s="357"/>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row>
    <row r="37" spans="1:49" x14ac:dyDescent="0.25">
      <c r="A37" s="198"/>
      <c r="C37" s="200" t="str">
        <f>IF($P$9=1,"","gesamt hbf. Angehöriger")</f>
        <v/>
      </c>
      <c r="D37" s="200"/>
      <c r="E37" s="131"/>
      <c r="F37" s="201"/>
      <c r="G37" s="201"/>
      <c r="H37" s="204"/>
      <c r="I37" s="204"/>
      <c r="J37" s="204" t="str">
        <f>IF(F6="","",Beitragsberechnung!$K$26)</f>
        <v/>
      </c>
      <c r="K37" s="204"/>
      <c r="L37" s="204" t="str">
        <f>IF('Verknüpfungen 2'!$H$7=3,"",IF(J37="","",'Internetfenster 2'!J37*3))</f>
        <v/>
      </c>
      <c r="M37" s="130"/>
      <c r="N37" s="201" t="str">
        <f>IF(F6="","",IF('Verknüpfungen 2'!$H$7=3,Beitragsberechnung!M26,""))</f>
        <v/>
      </c>
      <c r="O37" s="201"/>
      <c r="P37" s="201" t="str">
        <f>IF(N37="","",J37+N37)</f>
        <v/>
      </c>
      <c r="Q37" s="201"/>
      <c r="R37" s="201" t="str">
        <f>IF(P37="","",P37*3)</f>
        <v/>
      </c>
      <c r="T37" s="198"/>
      <c r="U37" s="198"/>
      <c r="V37" s="302"/>
      <c r="W37" s="198"/>
      <c r="X37" s="322"/>
      <c r="Y37" s="357"/>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row>
    <row r="38" spans="1:49" ht="6" customHeight="1" x14ac:dyDescent="0.25">
      <c r="A38" s="198"/>
      <c r="F38" s="1"/>
      <c r="G38" s="1"/>
      <c r="H38" s="1"/>
      <c r="I38" s="1"/>
      <c r="J38" s="1"/>
      <c r="K38" s="1"/>
      <c r="L38" s="1"/>
      <c r="M38" s="1"/>
      <c r="N38" s="1"/>
      <c r="O38" s="1"/>
      <c r="P38" s="1"/>
      <c r="Q38" s="1"/>
      <c r="R38" s="1"/>
      <c r="T38" s="198"/>
      <c r="U38" s="198"/>
      <c r="V38" s="302"/>
      <c r="W38" s="198"/>
      <c r="X38" s="322"/>
      <c r="Y38" s="357"/>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row>
    <row r="39" spans="1:49" x14ac:dyDescent="0.25">
      <c r="A39" s="198"/>
      <c r="C39" s="202" t="str">
        <f>IF($F$6="","",IF(C37="",IF('Internetfenster 1'!C34="","","Ausgangssbetrieb"),"Ausgangsbetrieb"))</f>
        <v/>
      </c>
      <c r="D39" s="202"/>
      <c r="E39" s="202"/>
      <c r="F39" s="202"/>
      <c r="J39" s="204" t="str">
        <f>IF(F6="","",IF(C39="","",IF(J37="",IF('Internetfenster 1'!R34="",'Internetfenster 1'!J34,'Internetfenster 1'!R34),IF(L37="","",IF(C41="kein hauptberufl. besch. Angehöriger",0,IF('Internetfenster 1'!L34="",'Internetfenster 1'!P34,'Internetfenster 1'!J34))))))</f>
        <v/>
      </c>
      <c r="K39" s="204"/>
      <c r="L39" s="204" t="str">
        <f>IF(J39="","",J39*3)</f>
        <v/>
      </c>
      <c r="M39" s="2"/>
      <c r="N39" s="2"/>
      <c r="O39" s="2"/>
      <c r="P39" s="204" t="str">
        <f>IF(P37="","",IF(C41="kein hauptberufl. besch. Angehöriger",0,IF('Internetfenster 1'!P34="",'Internetfenster 1'!J34,'Internetfenster 1'!P34)))</f>
        <v/>
      </c>
      <c r="Q39" s="204"/>
      <c r="R39" s="204" t="str">
        <f>IF(P39="","",P39*3)</f>
        <v/>
      </c>
      <c r="T39" s="198"/>
      <c r="U39" s="198"/>
      <c r="V39" s="302"/>
      <c r="W39" s="198"/>
      <c r="X39" s="322"/>
      <c r="Y39" s="357"/>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row>
    <row r="40" spans="1:49" ht="2.25" customHeight="1" x14ac:dyDescent="0.25">
      <c r="A40" s="198"/>
      <c r="C40" s="202"/>
      <c r="D40" s="202"/>
      <c r="E40" s="202"/>
      <c r="F40" s="202"/>
      <c r="J40" s="2"/>
      <c r="K40" s="2"/>
      <c r="L40" s="2"/>
      <c r="M40" s="2"/>
      <c r="N40" s="2"/>
      <c r="O40" s="2"/>
      <c r="P40" s="2"/>
      <c r="Q40" s="2"/>
      <c r="R40" s="2"/>
      <c r="T40" s="198"/>
      <c r="U40" s="198"/>
      <c r="V40" s="302"/>
      <c r="W40" s="198"/>
      <c r="X40" s="322"/>
      <c r="Y40" s="357"/>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row>
    <row r="41" spans="1:49" x14ac:dyDescent="0.25">
      <c r="A41" s="198"/>
      <c r="C41" s="207" t="str">
        <f>IF(F6="","",IF(C39="","",IF('Verknüpfungen 1'!H7=1,"kein hauptberufl. besch. Angehöriger",VLOOKUP('Verknüpfungen 1'!H7,'Verknüpfungen 1'!H8:I12,2))))</f>
        <v/>
      </c>
      <c r="D41" s="202"/>
      <c r="E41" s="202"/>
      <c r="F41" s="202"/>
      <c r="J41" s="209" t="str">
        <f>IF(F6="","",IF(J39="","",IF(J37="",0-J39,J37-J39)))</f>
        <v/>
      </c>
      <c r="K41" s="212"/>
      <c r="L41" s="209" t="str">
        <f>IF(F6="","",IF(J39="","",IF(L37="",0-L39,L37-L39)))</f>
        <v/>
      </c>
      <c r="M41" s="2"/>
      <c r="N41" s="2"/>
      <c r="O41" s="2"/>
      <c r="P41" s="209" t="str">
        <f>IF(P39="","",P37-P39)</f>
        <v/>
      </c>
      <c r="Q41" s="212"/>
      <c r="R41" s="209" t="str">
        <f>IF(R39="","",R37-R39)</f>
        <v/>
      </c>
      <c r="T41" s="198"/>
      <c r="U41" s="198"/>
      <c r="V41" s="302"/>
      <c r="W41" s="198"/>
      <c r="X41" s="322"/>
      <c r="Y41" s="357"/>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row>
    <row r="42" spans="1:49" x14ac:dyDescent="0.25">
      <c r="A42" s="198"/>
      <c r="T42" s="198"/>
      <c r="U42" s="198"/>
      <c r="V42" s="302"/>
      <c r="W42" s="198"/>
      <c r="X42" s="322"/>
      <c r="Y42" s="357"/>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row>
    <row r="43" spans="1:49" x14ac:dyDescent="0.25">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322"/>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row>
    <row r="44" spans="1:49" x14ac:dyDescent="0.25">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322"/>
      <c r="Y44" s="31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row>
    <row r="45" spans="1:49" x14ac:dyDescent="0.25">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322"/>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row>
    <row r="46" spans="1:49" x14ac:dyDescent="0.25">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322"/>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row>
    <row r="47" spans="1:49" x14ac:dyDescent="0.25">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322"/>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row>
    <row r="48" spans="1:49" x14ac:dyDescent="0.25">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322"/>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row>
    <row r="49" spans="1:49" x14ac:dyDescent="0.25">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322"/>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row>
    <row r="50" spans="1:49" x14ac:dyDescent="0.25">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322"/>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row>
    <row r="51" spans="1:49" x14ac:dyDescent="0.25">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322"/>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row>
    <row r="52" spans="1:49" x14ac:dyDescent="0.25">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322"/>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row>
    <row r="53" spans="1:49" x14ac:dyDescent="0.25">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322"/>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row>
    <row r="54" spans="1:49" x14ac:dyDescent="0.25">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322"/>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row>
    <row r="55" spans="1:49" x14ac:dyDescent="0.25">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322"/>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row>
    <row r="56" spans="1:49" x14ac:dyDescent="0.25">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322"/>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row>
    <row r="57" spans="1:49" x14ac:dyDescent="0.25">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322"/>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row>
    <row r="58" spans="1:49" x14ac:dyDescent="0.25">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322"/>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row>
    <row r="59" spans="1:49" x14ac:dyDescent="0.25">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322"/>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row>
    <row r="60" spans="1:49" x14ac:dyDescent="0.25">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322"/>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row>
    <row r="61" spans="1:49" x14ac:dyDescent="0.25">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322"/>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row>
    <row r="62" spans="1:49" x14ac:dyDescent="0.25">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322"/>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row>
    <row r="63" spans="1:49" x14ac:dyDescent="0.25">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322"/>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row>
    <row r="64" spans="1:49" x14ac:dyDescent="0.25">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322"/>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row>
    <row r="65" spans="1:49" x14ac:dyDescent="0.25">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322"/>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row>
    <row r="66" spans="1:49" x14ac:dyDescent="0.25">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322"/>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row>
    <row r="67" spans="1:49" x14ac:dyDescent="0.25">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322"/>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row>
    <row r="68" spans="1:49" x14ac:dyDescent="0.25">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322"/>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row>
    <row r="69" spans="1:49" x14ac:dyDescent="0.25">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322"/>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row>
    <row r="70" spans="1:49" x14ac:dyDescent="0.25">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322"/>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row>
    <row r="71" spans="1:49" x14ac:dyDescent="0.25">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322"/>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row>
    <row r="72" spans="1:49" x14ac:dyDescent="0.25">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322"/>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row>
    <row r="73" spans="1:49" x14ac:dyDescent="0.25">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322"/>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row>
    <row r="74" spans="1:49" x14ac:dyDescent="0.25">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322"/>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row>
    <row r="75" spans="1:49" x14ac:dyDescent="0.25">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322"/>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row>
    <row r="76" spans="1:49" x14ac:dyDescent="0.25">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322"/>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row>
    <row r="77" spans="1:49" x14ac:dyDescent="0.25">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322"/>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row>
    <row r="78" spans="1:49" x14ac:dyDescent="0.25">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322"/>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row>
    <row r="79" spans="1:49" x14ac:dyDescent="0.25">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322"/>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row>
    <row r="80" spans="1:49" x14ac:dyDescent="0.25">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322"/>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row>
    <row r="81" spans="1:49" x14ac:dyDescent="0.25">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322"/>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row>
    <row r="82" spans="1:49" x14ac:dyDescent="0.25">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322"/>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row>
    <row r="83" spans="1:49" x14ac:dyDescent="0.25">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322"/>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row>
    <row r="84" spans="1:49" x14ac:dyDescent="0.25">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322"/>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row>
    <row r="85" spans="1:49" x14ac:dyDescent="0.25">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322"/>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row>
    <row r="86" spans="1:49" x14ac:dyDescent="0.25">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322"/>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row>
    <row r="87" spans="1:49" x14ac:dyDescent="0.25">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322"/>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row>
    <row r="88" spans="1:49" x14ac:dyDescent="0.25">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322"/>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row>
    <row r="89" spans="1:49" x14ac:dyDescent="0.25">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322"/>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row>
    <row r="90" spans="1:49" x14ac:dyDescent="0.25">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322"/>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row>
    <row r="91" spans="1:49" x14ac:dyDescent="0.25">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322"/>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row>
    <row r="92" spans="1:49" x14ac:dyDescent="0.25">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322"/>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row>
    <row r="93" spans="1:49" x14ac:dyDescent="0.25">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322"/>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row>
    <row r="94" spans="1:49" x14ac:dyDescent="0.25">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322"/>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row>
    <row r="95" spans="1:49" x14ac:dyDescent="0.25">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322"/>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row>
    <row r="96" spans="1:49" x14ac:dyDescent="0.25">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322"/>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row>
    <row r="97" spans="1:49" x14ac:dyDescent="0.25">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322"/>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row>
    <row r="98" spans="1:49" x14ac:dyDescent="0.25">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322"/>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row>
    <row r="99" spans="1:49" x14ac:dyDescent="0.25">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322"/>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row>
    <row r="100" spans="1:49" x14ac:dyDescent="0.25">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322"/>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row>
    <row r="101" spans="1:49" x14ac:dyDescent="0.25">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322"/>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row>
    <row r="102" spans="1:49" x14ac:dyDescent="0.25">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322"/>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row>
    <row r="103" spans="1:49" x14ac:dyDescent="0.25">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322"/>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row>
    <row r="104" spans="1:49" x14ac:dyDescent="0.25">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322"/>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row>
    <row r="105" spans="1:49" x14ac:dyDescent="0.25">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322"/>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row>
    <row r="106" spans="1:49" x14ac:dyDescent="0.25">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322"/>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row>
    <row r="107" spans="1:49" x14ac:dyDescent="0.25">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322"/>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row>
    <row r="108" spans="1:49" x14ac:dyDescent="0.25">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322"/>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row>
    <row r="109" spans="1:49" x14ac:dyDescent="0.25">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322"/>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row>
    <row r="110" spans="1:49" x14ac:dyDescent="0.25">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322"/>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row>
    <row r="111" spans="1:49" x14ac:dyDescent="0.25">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322"/>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row>
    <row r="112" spans="1:49" x14ac:dyDescent="0.25">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322"/>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row>
    <row r="113" spans="1:49" x14ac:dyDescent="0.25">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322"/>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row>
    <row r="114" spans="1:49" x14ac:dyDescent="0.25">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322"/>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row>
    <row r="115" spans="1:49" x14ac:dyDescent="0.25">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322"/>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row>
    <row r="116" spans="1:49" x14ac:dyDescent="0.25">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322"/>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row>
    <row r="117" spans="1:49" x14ac:dyDescent="0.25">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322"/>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row>
    <row r="118" spans="1:49" x14ac:dyDescent="0.25">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322"/>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row>
    <row r="119" spans="1:49" x14ac:dyDescent="0.25">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322"/>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row>
    <row r="120" spans="1:49" x14ac:dyDescent="0.25">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322"/>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row>
    <row r="121" spans="1:49" x14ac:dyDescent="0.25">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322"/>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row>
    <row r="122" spans="1:49" x14ac:dyDescent="0.25">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322"/>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row>
    <row r="123" spans="1:49" x14ac:dyDescent="0.25">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322"/>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row>
    <row r="124" spans="1:49" x14ac:dyDescent="0.25">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322"/>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row>
    <row r="125" spans="1:49" x14ac:dyDescent="0.25">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322"/>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row>
    <row r="126" spans="1:49" x14ac:dyDescent="0.25">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322"/>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row>
    <row r="127" spans="1:49" x14ac:dyDescent="0.25">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322"/>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row>
    <row r="128" spans="1:49" x14ac:dyDescent="0.25">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322"/>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row>
    <row r="129" spans="1:49" x14ac:dyDescent="0.25">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322"/>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row>
    <row r="130" spans="1:49" x14ac:dyDescent="0.25">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322"/>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row>
    <row r="131" spans="1:49" x14ac:dyDescent="0.25">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322"/>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row>
    <row r="132" spans="1:49" x14ac:dyDescent="0.25">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322"/>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row>
    <row r="133" spans="1:49" x14ac:dyDescent="0.25">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322"/>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row>
    <row r="134" spans="1:49" x14ac:dyDescent="0.25">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322"/>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row>
    <row r="135" spans="1:49" x14ac:dyDescent="0.25">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322"/>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row>
    <row r="136" spans="1:49" x14ac:dyDescent="0.25">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322"/>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row>
    <row r="137" spans="1:49" x14ac:dyDescent="0.25">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322"/>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row>
    <row r="138" spans="1:49" x14ac:dyDescent="0.25">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322"/>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row>
    <row r="139" spans="1:49" x14ac:dyDescent="0.25">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322"/>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row>
    <row r="140" spans="1:49" x14ac:dyDescent="0.25">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322"/>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row>
    <row r="141" spans="1:49" x14ac:dyDescent="0.25">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322"/>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row>
    <row r="142" spans="1:49" x14ac:dyDescent="0.25">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322"/>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row>
    <row r="143" spans="1:49" x14ac:dyDescent="0.25">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322"/>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row>
    <row r="144" spans="1:49" x14ac:dyDescent="0.25">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322"/>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row>
    <row r="145" spans="1:49" x14ac:dyDescent="0.25">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322"/>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row>
    <row r="146" spans="1:49" x14ac:dyDescent="0.25">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322"/>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row>
    <row r="147" spans="1:49" x14ac:dyDescent="0.25">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322"/>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row>
    <row r="148" spans="1:49" x14ac:dyDescent="0.25">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322"/>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row>
    <row r="149" spans="1:49" x14ac:dyDescent="0.25">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322"/>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row>
    <row r="150" spans="1:49" x14ac:dyDescent="0.25">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322"/>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row>
    <row r="151" spans="1:49" x14ac:dyDescent="0.25">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322"/>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row>
    <row r="152" spans="1:49" x14ac:dyDescent="0.25">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322"/>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row>
    <row r="153" spans="1:49" x14ac:dyDescent="0.25">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322"/>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row>
    <row r="154" spans="1:49" x14ac:dyDescent="0.25">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322"/>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row>
    <row r="155" spans="1:49" x14ac:dyDescent="0.25">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322"/>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row>
    <row r="156" spans="1:49" x14ac:dyDescent="0.25">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322"/>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row>
    <row r="157" spans="1:49" x14ac:dyDescent="0.25">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322"/>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row>
    <row r="158" spans="1:49" x14ac:dyDescent="0.25">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322"/>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row>
    <row r="159" spans="1:49" x14ac:dyDescent="0.25">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322"/>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row>
    <row r="160" spans="1:49" x14ac:dyDescent="0.25">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322"/>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row>
    <row r="161" spans="1:49" x14ac:dyDescent="0.25">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322"/>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row>
    <row r="162" spans="1:49" x14ac:dyDescent="0.25">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322"/>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row>
    <row r="163" spans="1:49" x14ac:dyDescent="0.25">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322"/>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c r="AV163" s="198"/>
      <c r="AW163" s="198"/>
    </row>
    <row r="164" spans="1:49" x14ac:dyDescent="0.25">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322"/>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row>
    <row r="165" spans="1:49" x14ac:dyDescent="0.25">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322"/>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row>
    <row r="166" spans="1:49" x14ac:dyDescent="0.25">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322"/>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c r="AV166" s="198"/>
      <c r="AW166" s="198"/>
    </row>
    <row r="167" spans="1:49" x14ac:dyDescent="0.25">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322"/>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198"/>
      <c r="AW167" s="198"/>
    </row>
    <row r="168" spans="1:49" x14ac:dyDescent="0.25">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322"/>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198"/>
      <c r="AU168" s="198"/>
      <c r="AV168" s="198"/>
      <c r="AW168" s="198"/>
    </row>
    <row r="169" spans="1:49" x14ac:dyDescent="0.25">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322"/>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row>
    <row r="170" spans="1:49" x14ac:dyDescent="0.25">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322"/>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row>
    <row r="171" spans="1:49" x14ac:dyDescent="0.25">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322"/>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row>
    <row r="172" spans="1:49" x14ac:dyDescent="0.25">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322"/>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row>
    <row r="173" spans="1:49" x14ac:dyDescent="0.25">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322"/>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c r="AV173" s="198"/>
      <c r="AW173" s="198"/>
    </row>
    <row r="174" spans="1:49" x14ac:dyDescent="0.25">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322"/>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row>
    <row r="175" spans="1:49" x14ac:dyDescent="0.25">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322"/>
      <c r="Y175" s="198"/>
      <c r="Z175" s="198"/>
      <c r="AA175" s="198"/>
      <c r="AB175" s="198"/>
      <c r="AC175" s="198"/>
      <c r="AD175" s="198"/>
      <c r="AE175" s="198"/>
      <c r="AF175" s="198"/>
      <c r="AG175" s="198"/>
      <c r="AH175" s="198"/>
      <c r="AI175" s="198"/>
      <c r="AJ175" s="198"/>
      <c r="AK175" s="198"/>
      <c r="AL175" s="198"/>
      <c r="AM175" s="198"/>
      <c r="AN175" s="198"/>
      <c r="AO175" s="198"/>
      <c r="AP175" s="198"/>
      <c r="AQ175" s="198"/>
      <c r="AR175" s="198"/>
      <c r="AS175" s="198"/>
      <c r="AT175" s="198"/>
      <c r="AU175" s="198"/>
      <c r="AV175" s="198"/>
      <c r="AW175" s="198"/>
    </row>
    <row r="176" spans="1:49" x14ac:dyDescent="0.25">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322"/>
      <c r="Y176" s="198"/>
      <c r="Z176" s="198"/>
      <c r="AA176" s="198"/>
      <c r="AB176" s="198"/>
      <c r="AC176" s="198"/>
      <c r="AD176" s="198"/>
      <c r="AE176" s="198"/>
      <c r="AF176" s="198"/>
      <c r="AG176" s="198"/>
      <c r="AH176" s="198"/>
      <c r="AI176" s="198"/>
      <c r="AJ176" s="198"/>
      <c r="AK176" s="198"/>
      <c r="AL176" s="198"/>
      <c r="AM176" s="198"/>
      <c r="AN176" s="198"/>
      <c r="AO176" s="198"/>
      <c r="AP176" s="198"/>
      <c r="AQ176" s="198"/>
      <c r="AR176" s="198"/>
      <c r="AS176" s="198"/>
      <c r="AT176" s="198"/>
      <c r="AU176" s="198"/>
      <c r="AV176" s="198"/>
      <c r="AW176" s="198"/>
    </row>
    <row r="177" spans="1:49" x14ac:dyDescent="0.25">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322"/>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c r="AV177" s="198"/>
      <c r="AW177" s="198"/>
    </row>
    <row r="178" spans="1:49" x14ac:dyDescent="0.25">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322"/>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row>
    <row r="179" spans="1:49" x14ac:dyDescent="0.25">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322"/>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row>
    <row r="180" spans="1:49" x14ac:dyDescent="0.25">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322"/>
      <c r="Y180" s="198"/>
      <c r="Z180" s="198"/>
      <c r="AA180" s="198"/>
      <c r="AB180" s="198"/>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row>
    <row r="181" spans="1:49" x14ac:dyDescent="0.25">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322"/>
      <c r="Y181" s="198"/>
      <c r="Z181" s="198"/>
      <c r="AA181" s="198"/>
      <c r="AB181" s="198"/>
      <c r="AC181" s="198"/>
      <c r="AD181" s="198"/>
      <c r="AE181" s="198"/>
      <c r="AF181" s="198"/>
      <c r="AG181" s="198"/>
      <c r="AH181" s="198"/>
      <c r="AI181" s="198"/>
      <c r="AJ181" s="198"/>
      <c r="AK181" s="198"/>
      <c r="AL181" s="198"/>
      <c r="AM181" s="198"/>
      <c r="AN181" s="198"/>
      <c r="AO181" s="198"/>
      <c r="AP181" s="198"/>
      <c r="AQ181" s="198"/>
      <c r="AR181" s="198"/>
      <c r="AS181" s="198"/>
      <c r="AT181" s="198"/>
      <c r="AU181" s="198"/>
      <c r="AV181" s="198"/>
      <c r="AW181" s="198"/>
    </row>
    <row r="182" spans="1:49" x14ac:dyDescent="0.25">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322"/>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row>
    <row r="183" spans="1:49" x14ac:dyDescent="0.25">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322"/>
      <c r="Y183" s="198"/>
      <c r="Z183" s="198"/>
      <c r="AA183" s="198"/>
      <c r="AB183" s="198"/>
      <c r="AC183" s="198"/>
      <c r="AD183" s="198"/>
      <c r="AE183" s="198"/>
      <c r="AF183" s="198"/>
      <c r="AG183" s="198"/>
      <c r="AH183" s="198"/>
      <c r="AI183" s="198"/>
      <c r="AJ183" s="198"/>
      <c r="AK183" s="198"/>
      <c r="AL183" s="198"/>
      <c r="AM183" s="198"/>
      <c r="AN183" s="198"/>
      <c r="AO183" s="198"/>
      <c r="AP183" s="198"/>
      <c r="AQ183" s="198"/>
      <c r="AR183" s="198"/>
      <c r="AS183" s="198"/>
      <c r="AT183" s="198"/>
      <c r="AU183" s="198"/>
      <c r="AV183" s="198"/>
      <c r="AW183" s="198"/>
    </row>
    <row r="184" spans="1:49" x14ac:dyDescent="0.25">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322"/>
      <c r="Y184" s="198"/>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c r="AT184" s="198"/>
      <c r="AU184" s="198"/>
      <c r="AV184" s="198"/>
      <c r="AW184" s="198"/>
    </row>
    <row r="185" spans="1:49" x14ac:dyDescent="0.25">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322"/>
      <c r="Y185" s="198"/>
      <c r="Z185" s="198"/>
      <c r="AA185" s="198"/>
      <c r="AB185" s="198"/>
      <c r="AC185" s="198"/>
      <c r="AD185" s="198"/>
      <c r="AE185" s="198"/>
      <c r="AF185" s="198"/>
      <c r="AG185" s="198"/>
      <c r="AH185" s="198"/>
      <c r="AI185" s="198"/>
      <c r="AJ185" s="198"/>
      <c r="AK185" s="198"/>
      <c r="AL185" s="198"/>
      <c r="AM185" s="198"/>
      <c r="AN185" s="198"/>
      <c r="AO185" s="198"/>
      <c r="AP185" s="198"/>
      <c r="AQ185" s="198"/>
      <c r="AR185" s="198"/>
      <c r="AS185" s="198"/>
      <c r="AT185" s="198"/>
      <c r="AU185" s="198"/>
      <c r="AV185" s="198"/>
      <c r="AW185" s="198"/>
    </row>
    <row r="186" spans="1:49" x14ac:dyDescent="0.25">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322"/>
      <c r="Y186" s="198"/>
      <c r="Z186" s="198"/>
      <c r="AA186" s="198"/>
      <c r="AB186" s="198"/>
      <c r="AC186" s="198"/>
      <c r="AD186" s="198"/>
      <c r="AE186" s="198"/>
      <c r="AF186" s="198"/>
      <c r="AG186" s="198"/>
      <c r="AH186" s="198"/>
      <c r="AI186" s="198"/>
      <c r="AJ186" s="198"/>
      <c r="AK186" s="198"/>
      <c r="AL186" s="198"/>
      <c r="AM186" s="198"/>
      <c r="AN186" s="198"/>
      <c r="AO186" s="198"/>
      <c r="AP186" s="198"/>
      <c r="AQ186" s="198"/>
      <c r="AR186" s="198"/>
      <c r="AS186" s="198"/>
      <c r="AT186" s="198"/>
      <c r="AU186" s="198"/>
      <c r="AV186" s="198"/>
      <c r="AW186" s="198"/>
    </row>
    <row r="187" spans="1:49" x14ac:dyDescent="0.25">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322"/>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row>
    <row r="188" spans="1:49" x14ac:dyDescent="0.25">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322"/>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row>
    <row r="189" spans="1:49" x14ac:dyDescent="0.25">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322"/>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198"/>
      <c r="AU189" s="198"/>
      <c r="AV189" s="198"/>
      <c r="AW189" s="198"/>
    </row>
    <row r="190" spans="1:49" x14ac:dyDescent="0.25">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322"/>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row>
    <row r="191" spans="1:49" x14ac:dyDescent="0.25">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322"/>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row>
    <row r="192" spans="1:49" x14ac:dyDescent="0.25">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322"/>
      <c r="Y192" s="198"/>
      <c r="Z192" s="198"/>
      <c r="AA192" s="198"/>
      <c r="AB192" s="198"/>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row>
    <row r="193" spans="1:49" x14ac:dyDescent="0.25">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322"/>
      <c r="Y193" s="198"/>
      <c r="Z193" s="198"/>
      <c r="AA193" s="198"/>
      <c r="AB193" s="198"/>
      <c r="AC193" s="198"/>
      <c r="AD193" s="198"/>
      <c r="AE193" s="198"/>
      <c r="AF193" s="198"/>
      <c r="AG193" s="198"/>
      <c r="AH193" s="198"/>
      <c r="AI193" s="198"/>
      <c r="AJ193" s="198"/>
      <c r="AK193" s="198"/>
      <c r="AL193" s="198"/>
      <c r="AM193" s="198"/>
      <c r="AN193" s="198"/>
      <c r="AO193" s="198"/>
      <c r="AP193" s="198"/>
      <c r="AQ193" s="198"/>
      <c r="AR193" s="198"/>
      <c r="AS193" s="198"/>
      <c r="AT193" s="198"/>
      <c r="AU193" s="198"/>
      <c r="AV193" s="198"/>
      <c r="AW193" s="198"/>
    </row>
    <row r="194" spans="1:49" x14ac:dyDescent="0.25">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322"/>
      <c r="Y194" s="198"/>
      <c r="Z194" s="198"/>
      <c r="AA194" s="198"/>
      <c r="AB194" s="198"/>
      <c r="AC194" s="198"/>
      <c r="AD194" s="198"/>
      <c r="AE194" s="198"/>
      <c r="AF194" s="198"/>
      <c r="AG194" s="198"/>
      <c r="AH194" s="198"/>
      <c r="AI194" s="198"/>
      <c r="AJ194" s="198"/>
      <c r="AK194" s="198"/>
      <c r="AL194" s="198"/>
      <c r="AM194" s="198"/>
      <c r="AN194" s="198"/>
      <c r="AO194" s="198"/>
      <c r="AP194" s="198"/>
      <c r="AQ194" s="198"/>
      <c r="AR194" s="198"/>
      <c r="AS194" s="198"/>
      <c r="AT194" s="198"/>
      <c r="AU194" s="198"/>
      <c r="AV194" s="198"/>
      <c r="AW194" s="198"/>
    </row>
    <row r="195" spans="1:49" x14ac:dyDescent="0.25">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322"/>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c r="AT195" s="198"/>
      <c r="AU195" s="198"/>
      <c r="AV195" s="198"/>
      <c r="AW195" s="198"/>
    </row>
    <row r="196" spans="1:49" x14ac:dyDescent="0.25">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322"/>
      <c r="Y196" s="198"/>
      <c r="Z196" s="198"/>
      <c r="AA196" s="198"/>
      <c r="AB196" s="198"/>
      <c r="AC196" s="198"/>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row>
    <row r="197" spans="1:49" x14ac:dyDescent="0.25">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322"/>
      <c r="Y197" s="198"/>
      <c r="Z197" s="198"/>
      <c r="AA197" s="198"/>
      <c r="AB197" s="198"/>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row>
    <row r="198" spans="1:49" x14ac:dyDescent="0.25">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322"/>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row>
    <row r="199" spans="1:49" x14ac:dyDescent="0.25">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322"/>
      <c r="Y199" s="198"/>
      <c r="Z199" s="198"/>
      <c r="AA199" s="198"/>
      <c r="AB199" s="198"/>
      <c r="AC199" s="198"/>
      <c r="AD199" s="198"/>
      <c r="AE199" s="198"/>
      <c r="AF199" s="198"/>
      <c r="AG199" s="198"/>
      <c r="AH199" s="198"/>
      <c r="AI199" s="198"/>
      <c r="AJ199" s="198"/>
      <c r="AK199" s="198"/>
      <c r="AL199" s="198"/>
      <c r="AM199" s="198"/>
      <c r="AN199" s="198"/>
      <c r="AO199" s="198"/>
      <c r="AP199" s="198"/>
      <c r="AQ199" s="198"/>
      <c r="AR199" s="198"/>
      <c r="AS199" s="198"/>
      <c r="AT199" s="198"/>
      <c r="AU199" s="198"/>
      <c r="AV199" s="198"/>
      <c r="AW199" s="198"/>
    </row>
    <row r="200" spans="1:49" x14ac:dyDescent="0.25">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322"/>
      <c r="Y200" s="198"/>
      <c r="Z200" s="198"/>
      <c r="AA200" s="198"/>
      <c r="AB200" s="198"/>
      <c r="AC200" s="198"/>
      <c r="AD200" s="198"/>
      <c r="AE200" s="198"/>
      <c r="AF200" s="198"/>
      <c r="AG200" s="198"/>
      <c r="AH200" s="198"/>
      <c r="AI200" s="198"/>
      <c r="AJ200" s="198"/>
      <c r="AK200" s="198"/>
      <c r="AL200" s="198"/>
      <c r="AM200" s="198"/>
      <c r="AN200" s="198"/>
      <c r="AO200" s="198"/>
      <c r="AP200" s="198"/>
      <c r="AQ200" s="198"/>
      <c r="AR200" s="198"/>
      <c r="AS200" s="198"/>
      <c r="AT200" s="198"/>
      <c r="AU200" s="198"/>
      <c r="AV200" s="198"/>
      <c r="AW200" s="198"/>
    </row>
    <row r="201" spans="1:49" x14ac:dyDescent="0.25">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322"/>
      <c r="Y201" s="198"/>
      <c r="Z201" s="198"/>
      <c r="AA201" s="198"/>
      <c r="AB201" s="198"/>
      <c r="AC201" s="198"/>
      <c r="AD201" s="198"/>
      <c r="AE201" s="198"/>
      <c r="AF201" s="198"/>
      <c r="AG201" s="198"/>
      <c r="AH201" s="198"/>
      <c r="AI201" s="198"/>
      <c r="AJ201" s="198"/>
      <c r="AK201" s="198"/>
      <c r="AL201" s="198"/>
      <c r="AM201" s="198"/>
      <c r="AN201" s="198"/>
      <c r="AO201" s="198"/>
      <c r="AP201" s="198"/>
      <c r="AQ201" s="198"/>
      <c r="AR201" s="198"/>
      <c r="AS201" s="198"/>
      <c r="AT201" s="198"/>
      <c r="AU201" s="198"/>
      <c r="AV201" s="198"/>
      <c r="AW201" s="198"/>
    </row>
    <row r="202" spans="1:49" x14ac:dyDescent="0.25">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322"/>
      <c r="Y202" s="198"/>
      <c r="Z202" s="198"/>
      <c r="AA202" s="198"/>
      <c r="AB202" s="198"/>
      <c r="AC202" s="198"/>
      <c r="AD202" s="198"/>
      <c r="AE202" s="198"/>
      <c r="AF202" s="198"/>
      <c r="AG202" s="198"/>
      <c r="AH202" s="198"/>
      <c r="AI202" s="198"/>
      <c r="AJ202" s="198"/>
      <c r="AK202" s="198"/>
      <c r="AL202" s="198"/>
      <c r="AM202" s="198"/>
      <c r="AN202" s="198"/>
      <c r="AO202" s="198"/>
      <c r="AP202" s="198"/>
      <c r="AQ202" s="198"/>
      <c r="AR202" s="198"/>
      <c r="AS202" s="198"/>
      <c r="AT202" s="198"/>
      <c r="AU202" s="198"/>
      <c r="AV202" s="198"/>
      <c r="AW202" s="198"/>
    </row>
    <row r="203" spans="1:49" x14ac:dyDescent="0.25">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322"/>
      <c r="Y203" s="198"/>
      <c r="Z203" s="198"/>
      <c r="AA203" s="198"/>
      <c r="AB203" s="198"/>
      <c r="AC203" s="198"/>
      <c r="AD203" s="198"/>
      <c r="AE203" s="198"/>
      <c r="AF203" s="198"/>
      <c r="AG203" s="198"/>
      <c r="AH203" s="198"/>
      <c r="AI203" s="198"/>
      <c r="AJ203" s="198"/>
      <c r="AK203" s="198"/>
      <c r="AL203" s="198"/>
      <c r="AM203" s="198"/>
      <c r="AN203" s="198"/>
      <c r="AO203" s="198"/>
      <c r="AP203" s="198"/>
      <c r="AQ203" s="198"/>
      <c r="AR203" s="198"/>
      <c r="AS203" s="198"/>
      <c r="AT203" s="198"/>
      <c r="AU203" s="198"/>
      <c r="AV203" s="198"/>
      <c r="AW203" s="198"/>
    </row>
    <row r="204" spans="1:49" x14ac:dyDescent="0.25">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322"/>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c r="AT204" s="198"/>
      <c r="AU204" s="198"/>
      <c r="AV204" s="198"/>
      <c r="AW204" s="198"/>
    </row>
    <row r="205" spans="1:49" x14ac:dyDescent="0.25">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322"/>
      <c r="Y205" s="198"/>
      <c r="Z205" s="198"/>
      <c r="AA205" s="198"/>
      <c r="AB205" s="198"/>
      <c r="AC205" s="198"/>
      <c r="AD205" s="198"/>
      <c r="AE205" s="198"/>
      <c r="AF205" s="198"/>
      <c r="AG205" s="198"/>
      <c r="AH205" s="198"/>
      <c r="AI205" s="198"/>
      <c r="AJ205" s="198"/>
      <c r="AK205" s="198"/>
      <c r="AL205" s="198"/>
      <c r="AM205" s="198"/>
      <c r="AN205" s="198"/>
      <c r="AO205" s="198"/>
      <c r="AP205" s="198"/>
      <c r="AQ205" s="198"/>
      <c r="AR205" s="198"/>
      <c r="AS205" s="198"/>
      <c r="AT205" s="198"/>
      <c r="AU205" s="198"/>
      <c r="AV205" s="198"/>
      <c r="AW205" s="198"/>
    </row>
    <row r="206" spans="1:49" x14ac:dyDescent="0.25">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322"/>
      <c r="Y206" s="198"/>
      <c r="Z206" s="198"/>
      <c r="AA206" s="198"/>
      <c r="AB206" s="198"/>
      <c r="AC206" s="198"/>
      <c r="AD206" s="198"/>
      <c r="AE206" s="198"/>
      <c r="AF206" s="198"/>
      <c r="AG206" s="198"/>
      <c r="AH206" s="198"/>
      <c r="AI206" s="198"/>
      <c r="AJ206" s="198"/>
      <c r="AK206" s="198"/>
      <c r="AL206" s="198"/>
      <c r="AM206" s="198"/>
      <c r="AN206" s="198"/>
      <c r="AO206" s="198"/>
      <c r="AP206" s="198"/>
      <c r="AQ206" s="198"/>
      <c r="AR206" s="198"/>
      <c r="AS206" s="198"/>
      <c r="AT206" s="198"/>
      <c r="AU206" s="198"/>
      <c r="AV206" s="198"/>
      <c r="AW206" s="198"/>
    </row>
    <row r="207" spans="1:49" x14ac:dyDescent="0.25">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322"/>
      <c r="Y207" s="198"/>
      <c r="Z207" s="198"/>
      <c r="AA207" s="198"/>
      <c r="AB207" s="198"/>
      <c r="AC207" s="198"/>
      <c r="AD207" s="198"/>
      <c r="AE207" s="198"/>
      <c r="AF207" s="198"/>
      <c r="AG207" s="198"/>
      <c r="AH207" s="198"/>
      <c r="AI207" s="198"/>
      <c r="AJ207" s="198"/>
      <c r="AK207" s="198"/>
      <c r="AL207" s="198"/>
      <c r="AM207" s="198"/>
      <c r="AN207" s="198"/>
      <c r="AO207" s="198"/>
      <c r="AP207" s="198"/>
      <c r="AQ207" s="198"/>
      <c r="AR207" s="198"/>
      <c r="AS207" s="198"/>
      <c r="AT207" s="198"/>
      <c r="AU207" s="198"/>
      <c r="AV207" s="198"/>
      <c r="AW207" s="198"/>
    </row>
    <row r="208" spans="1:49" x14ac:dyDescent="0.25">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322"/>
      <c r="Y208" s="198"/>
      <c r="Z208" s="198"/>
      <c r="AA208" s="198"/>
      <c r="AB208" s="198"/>
      <c r="AC208" s="198"/>
      <c r="AD208" s="198"/>
      <c r="AE208" s="198"/>
      <c r="AF208" s="198"/>
      <c r="AG208" s="198"/>
      <c r="AH208" s="198"/>
      <c r="AI208" s="198"/>
      <c r="AJ208" s="198"/>
      <c r="AK208" s="198"/>
      <c r="AL208" s="198"/>
      <c r="AM208" s="198"/>
      <c r="AN208" s="198"/>
      <c r="AO208" s="198"/>
      <c r="AP208" s="198"/>
      <c r="AQ208" s="198"/>
      <c r="AR208" s="198"/>
      <c r="AS208" s="198"/>
      <c r="AT208" s="198"/>
      <c r="AU208" s="198"/>
      <c r="AV208" s="198"/>
      <c r="AW208" s="198"/>
    </row>
    <row r="209" spans="1:49" x14ac:dyDescent="0.25">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322"/>
      <c r="Y209" s="198"/>
      <c r="Z209" s="198"/>
      <c r="AA209" s="198"/>
      <c r="AB209" s="198"/>
      <c r="AC209" s="198"/>
      <c r="AD209" s="198"/>
      <c r="AE209" s="198"/>
      <c r="AF209" s="198"/>
      <c r="AG209" s="198"/>
      <c r="AH209" s="198"/>
      <c r="AI209" s="198"/>
      <c r="AJ209" s="198"/>
      <c r="AK209" s="198"/>
      <c r="AL209" s="198"/>
      <c r="AM209" s="198"/>
      <c r="AN209" s="198"/>
      <c r="AO209" s="198"/>
      <c r="AP209" s="198"/>
      <c r="AQ209" s="198"/>
      <c r="AR209" s="198"/>
      <c r="AS209" s="198"/>
      <c r="AT209" s="198"/>
      <c r="AU209" s="198"/>
      <c r="AV209" s="198"/>
      <c r="AW209" s="198"/>
    </row>
    <row r="210" spans="1:49" x14ac:dyDescent="0.25">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322"/>
      <c r="Y210" s="198"/>
      <c r="Z210" s="198"/>
      <c r="AA210" s="198"/>
      <c r="AB210" s="198"/>
      <c r="AC210" s="198"/>
      <c r="AD210" s="198"/>
      <c r="AE210" s="198"/>
      <c r="AF210" s="198"/>
      <c r="AG210" s="198"/>
      <c r="AH210" s="198"/>
      <c r="AI210" s="198"/>
      <c r="AJ210" s="198"/>
      <c r="AK210" s="198"/>
      <c r="AL210" s="198"/>
      <c r="AM210" s="198"/>
      <c r="AN210" s="198"/>
      <c r="AO210" s="198"/>
      <c r="AP210" s="198"/>
      <c r="AQ210" s="198"/>
      <c r="AR210" s="198"/>
      <c r="AS210" s="198"/>
      <c r="AT210" s="198"/>
      <c r="AU210" s="198"/>
      <c r="AV210" s="198"/>
      <c r="AW210" s="198"/>
    </row>
    <row r="211" spans="1:49" x14ac:dyDescent="0.25">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322"/>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198"/>
      <c r="AW211" s="198"/>
    </row>
    <row r="212" spans="1:49" x14ac:dyDescent="0.25">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322"/>
      <c r="Y212" s="198"/>
      <c r="Z212" s="198"/>
      <c r="AA212" s="198"/>
      <c r="AB212" s="198"/>
      <c r="AC212" s="198"/>
      <c r="AD212" s="198"/>
      <c r="AE212" s="198"/>
      <c r="AF212" s="198"/>
      <c r="AG212" s="198"/>
      <c r="AH212" s="198"/>
      <c r="AI212" s="198"/>
      <c r="AJ212" s="198"/>
      <c r="AK212" s="198"/>
      <c r="AL212" s="198"/>
      <c r="AM212" s="198"/>
      <c r="AN212" s="198"/>
      <c r="AO212" s="198"/>
      <c r="AP212" s="198"/>
      <c r="AQ212" s="198"/>
      <c r="AR212" s="198"/>
      <c r="AS212" s="198"/>
      <c r="AT212" s="198"/>
      <c r="AU212" s="198"/>
      <c r="AV212" s="198"/>
      <c r="AW212" s="198"/>
    </row>
    <row r="213" spans="1:49" x14ac:dyDescent="0.25">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322"/>
      <c r="Y213" s="198"/>
      <c r="Z213" s="198"/>
      <c r="AA213" s="198"/>
      <c r="AB213" s="198"/>
      <c r="AC213" s="198"/>
      <c r="AD213" s="198"/>
      <c r="AE213" s="198"/>
      <c r="AF213" s="198"/>
      <c r="AG213" s="198"/>
      <c r="AH213" s="198"/>
      <c r="AI213" s="198"/>
      <c r="AJ213" s="198"/>
      <c r="AK213" s="198"/>
      <c r="AL213" s="198"/>
      <c r="AM213" s="198"/>
      <c r="AN213" s="198"/>
      <c r="AO213" s="198"/>
      <c r="AP213" s="198"/>
      <c r="AQ213" s="198"/>
      <c r="AR213" s="198"/>
      <c r="AS213" s="198"/>
      <c r="AT213" s="198"/>
      <c r="AU213" s="198"/>
      <c r="AV213" s="198"/>
      <c r="AW213" s="198"/>
    </row>
    <row r="214" spans="1:49" x14ac:dyDescent="0.25">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322"/>
      <c r="Y214" s="198"/>
      <c r="Z214" s="198"/>
      <c r="AA214" s="198"/>
      <c r="AB214" s="198"/>
      <c r="AC214" s="198"/>
      <c r="AD214" s="198"/>
      <c r="AE214" s="198"/>
      <c r="AF214" s="198"/>
      <c r="AG214" s="198"/>
      <c r="AH214" s="198"/>
      <c r="AI214" s="198"/>
      <c r="AJ214" s="198"/>
      <c r="AK214" s="198"/>
      <c r="AL214" s="198"/>
      <c r="AM214" s="198"/>
      <c r="AN214" s="198"/>
      <c r="AO214" s="198"/>
      <c r="AP214" s="198"/>
      <c r="AQ214" s="198"/>
      <c r="AR214" s="198"/>
      <c r="AS214" s="198"/>
      <c r="AT214" s="198"/>
      <c r="AU214" s="198"/>
      <c r="AV214" s="198"/>
      <c r="AW214" s="198"/>
    </row>
    <row r="215" spans="1:49" x14ac:dyDescent="0.25">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322"/>
      <c r="Y215" s="198"/>
      <c r="Z215" s="198"/>
      <c r="AA215" s="198"/>
      <c r="AB215" s="198"/>
      <c r="AC215" s="198"/>
      <c r="AD215" s="198"/>
      <c r="AE215" s="198"/>
      <c r="AF215" s="198"/>
      <c r="AG215" s="198"/>
      <c r="AH215" s="198"/>
      <c r="AI215" s="198"/>
      <c r="AJ215" s="198"/>
      <c r="AK215" s="198"/>
      <c r="AL215" s="198"/>
      <c r="AM215" s="198"/>
      <c r="AN215" s="198"/>
      <c r="AO215" s="198"/>
      <c r="AP215" s="198"/>
      <c r="AQ215" s="198"/>
      <c r="AR215" s="198"/>
      <c r="AS215" s="198"/>
      <c r="AT215" s="198"/>
      <c r="AU215" s="198"/>
      <c r="AV215" s="198"/>
      <c r="AW215" s="198"/>
    </row>
    <row r="216" spans="1:49" x14ac:dyDescent="0.25">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322"/>
      <c r="Y216" s="198"/>
      <c r="Z216" s="198"/>
      <c r="AA216" s="198"/>
      <c r="AB216" s="198"/>
      <c r="AC216" s="198"/>
      <c r="AD216" s="198"/>
      <c r="AE216" s="198"/>
      <c r="AF216" s="198"/>
      <c r="AG216" s="198"/>
      <c r="AH216" s="198"/>
      <c r="AI216" s="198"/>
      <c r="AJ216" s="198"/>
      <c r="AK216" s="198"/>
      <c r="AL216" s="198"/>
      <c r="AM216" s="198"/>
      <c r="AN216" s="198"/>
      <c r="AO216" s="198"/>
      <c r="AP216" s="198"/>
      <c r="AQ216" s="198"/>
      <c r="AR216" s="198"/>
      <c r="AS216" s="198"/>
      <c r="AT216" s="198"/>
      <c r="AU216" s="198"/>
      <c r="AV216" s="198"/>
      <c r="AW216" s="198"/>
    </row>
    <row r="217" spans="1:49" x14ac:dyDescent="0.25">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322"/>
      <c r="Y217" s="198"/>
      <c r="Z217" s="198"/>
      <c r="AA217" s="198"/>
      <c r="AB217" s="198"/>
      <c r="AC217" s="198"/>
      <c r="AD217" s="198"/>
      <c r="AE217" s="198"/>
      <c r="AF217" s="198"/>
      <c r="AG217" s="198"/>
      <c r="AH217" s="198"/>
      <c r="AI217" s="198"/>
      <c r="AJ217" s="198"/>
      <c r="AK217" s="198"/>
      <c r="AL217" s="198"/>
      <c r="AM217" s="198"/>
      <c r="AN217" s="198"/>
      <c r="AO217" s="198"/>
      <c r="AP217" s="198"/>
      <c r="AQ217" s="198"/>
      <c r="AR217" s="198"/>
      <c r="AS217" s="198"/>
      <c r="AT217" s="198"/>
      <c r="AU217" s="198"/>
      <c r="AV217" s="198"/>
      <c r="AW217" s="198"/>
    </row>
    <row r="218" spans="1:49" x14ac:dyDescent="0.25">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322"/>
      <c r="Y218" s="198"/>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8"/>
      <c r="AW218" s="198"/>
    </row>
    <row r="219" spans="1:49" x14ac:dyDescent="0.25">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322"/>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198"/>
      <c r="AW219" s="198"/>
    </row>
    <row r="220" spans="1:49" x14ac:dyDescent="0.25">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322"/>
      <c r="Y220" s="198"/>
      <c r="Z220" s="198"/>
      <c r="AA220" s="198"/>
      <c r="AB220" s="198"/>
      <c r="AC220" s="198"/>
      <c r="AD220" s="198"/>
      <c r="AE220" s="198"/>
      <c r="AF220" s="198"/>
      <c r="AG220" s="198"/>
      <c r="AH220" s="198"/>
      <c r="AI220" s="198"/>
      <c r="AJ220" s="198"/>
      <c r="AK220" s="198"/>
      <c r="AL220" s="198"/>
      <c r="AM220" s="198"/>
      <c r="AN220" s="198"/>
      <c r="AO220" s="198"/>
      <c r="AP220" s="198"/>
      <c r="AQ220" s="198"/>
      <c r="AR220" s="198"/>
      <c r="AS220" s="198"/>
      <c r="AT220" s="198"/>
      <c r="AU220" s="198"/>
      <c r="AV220" s="198"/>
      <c r="AW220" s="198"/>
    </row>
    <row r="221" spans="1:49" x14ac:dyDescent="0.25">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322"/>
      <c r="Y221" s="198"/>
      <c r="Z221" s="198"/>
      <c r="AA221" s="198"/>
      <c r="AB221" s="198"/>
      <c r="AC221" s="198"/>
      <c r="AD221" s="198"/>
      <c r="AE221" s="198"/>
      <c r="AF221" s="198"/>
      <c r="AG221" s="198"/>
      <c r="AH221" s="198"/>
      <c r="AI221" s="198"/>
      <c r="AJ221" s="198"/>
      <c r="AK221" s="198"/>
      <c r="AL221" s="198"/>
      <c r="AM221" s="198"/>
      <c r="AN221" s="198"/>
      <c r="AO221" s="198"/>
      <c r="AP221" s="198"/>
      <c r="AQ221" s="198"/>
      <c r="AR221" s="198"/>
      <c r="AS221" s="198"/>
      <c r="AT221" s="198"/>
      <c r="AU221" s="198"/>
      <c r="AV221" s="198"/>
      <c r="AW221" s="198"/>
    </row>
    <row r="222" spans="1:49" x14ac:dyDescent="0.25">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322"/>
      <c r="Y222" s="198"/>
      <c r="Z222" s="198"/>
      <c r="AA222" s="198"/>
      <c r="AB222" s="198"/>
      <c r="AC222" s="198"/>
      <c r="AD222" s="198"/>
      <c r="AE222" s="198"/>
      <c r="AF222" s="198"/>
      <c r="AG222" s="198"/>
      <c r="AH222" s="198"/>
      <c r="AI222" s="198"/>
      <c r="AJ222" s="198"/>
      <c r="AK222" s="198"/>
      <c r="AL222" s="198"/>
      <c r="AM222" s="198"/>
      <c r="AN222" s="198"/>
      <c r="AO222" s="198"/>
      <c r="AP222" s="198"/>
      <c r="AQ222" s="198"/>
      <c r="AR222" s="198"/>
      <c r="AS222" s="198"/>
      <c r="AT222" s="198"/>
      <c r="AU222" s="198"/>
      <c r="AV222" s="198"/>
      <c r="AW222" s="198"/>
    </row>
    <row r="223" spans="1:49" x14ac:dyDescent="0.25">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322"/>
      <c r="Y223" s="198"/>
      <c r="Z223" s="198"/>
      <c r="AA223" s="198"/>
      <c r="AB223" s="198"/>
      <c r="AC223" s="198"/>
      <c r="AD223" s="198"/>
      <c r="AE223" s="198"/>
      <c r="AF223" s="198"/>
      <c r="AG223" s="198"/>
      <c r="AH223" s="198"/>
      <c r="AI223" s="198"/>
      <c r="AJ223" s="198"/>
      <c r="AK223" s="198"/>
      <c r="AL223" s="198"/>
      <c r="AM223" s="198"/>
      <c r="AN223" s="198"/>
      <c r="AO223" s="198"/>
      <c r="AP223" s="198"/>
      <c r="AQ223" s="198"/>
      <c r="AR223" s="198"/>
      <c r="AS223" s="198"/>
      <c r="AT223" s="198"/>
      <c r="AU223" s="198"/>
      <c r="AV223" s="198"/>
      <c r="AW223" s="198"/>
    </row>
    <row r="224" spans="1:49" x14ac:dyDescent="0.25">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322"/>
      <c r="Y224" s="198"/>
      <c r="Z224" s="198"/>
      <c r="AA224" s="198"/>
      <c r="AB224" s="198"/>
      <c r="AC224" s="198"/>
      <c r="AD224" s="198"/>
      <c r="AE224" s="198"/>
      <c r="AF224" s="198"/>
      <c r="AG224" s="198"/>
      <c r="AH224" s="198"/>
      <c r="AI224" s="198"/>
      <c r="AJ224" s="198"/>
      <c r="AK224" s="198"/>
      <c r="AL224" s="198"/>
      <c r="AM224" s="198"/>
      <c r="AN224" s="198"/>
      <c r="AO224" s="198"/>
      <c r="AP224" s="198"/>
      <c r="AQ224" s="198"/>
      <c r="AR224" s="198"/>
      <c r="AS224" s="198"/>
      <c r="AT224" s="198"/>
      <c r="AU224" s="198"/>
      <c r="AV224" s="198"/>
      <c r="AW224" s="198"/>
    </row>
    <row r="225" spans="1:49" x14ac:dyDescent="0.25">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322"/>
      <c r="Y225" s="198"/>
      <c r="Z225" s="198"/>
      <c r="AA225" s="198"/>
      <c r="AB225" s="198"/>
      <c r="AC225" s="198"/>
      <c r="AD225" s="198"/>
      <c r="AE225" s="198"/>
      <c r="AF225" s="198"/>
      <c r="AG225" s="198"/>
      <c r="AH225" s="198"/>
      <c r="AI225" s="198"/>
      <c r="AJ225" s="198"/>
      <c r="AK225" s="198"/>
      <c r="AL225" s="198"/>
      <c r="AM225" s="198"/>
      <c r="AN225" s="198"/>
      <c r="AO225" s="198"/>
      <c r="AP225" s="198"/>
      <c r="AQ225" s="198"/>
      <c r="AR225" s="198"/>
      <c r="AS225" s="198"/>
      <c r="AT225" s="198"/>
      <c r="AU225" s="198"/>
      <c r="AV225" s="198"/>
      <c r="AW225" s="198"/>
    </row>
    <row r="226" spans="1:49" x14ac:dyDescent="0.25">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322"/>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row>
    <row r="227" spans="1:49" x14ac:dyDescent="0.25">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322"/>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row>
    <row r="228" spans="1:49" x14ac:dyDescent="0.25">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322"/>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row>
    <row r="229" spans="1:49" x14ac:dyDescent="0.25">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322"/>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row>
    <row r="230" spans="1:49" x14ac:dyDescent="0.25">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322"/>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row>
    <row r="231" spans="1:49" x14ac:dyDescent="0.25">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322"/>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row>
    <row r="232" spans="1:49" x14ac:dyDescent="0.25">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322"/>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row>
    <row r="233" spans="1:49" x14ac:dyDescent="0.25">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322"/>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row>
    <row r="234" spans="1:49" x14ac:dyDescent="0.25">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322"/>
      <c r="Y234" s="198"/>
      <c r="Z234" s="198"/>
      <c r="AA234" s="198"/>
      <c r="AB234" s="198"/>
      <c r="AC234" s="198"/>
      <c r="AD234" s="198"/>
      <c r="AE234" s="198"/>
      <c r="AF234" s="198"/>
      <c r="AG234" s="198"/>
      <c r="AH234" s="198"/>
      <c r="AI234" s="198"/>
      <c r="AJ234" s="198"/>
      <c r="AK234" s="198"/>
      <c r="AL234" s="198"/>
      <c r="AM234" s="198"/>
      <c r="AN234" s="198"/>
      <c r="AO234" s="198"/>
      <c r="AP234" s="198"/>
      <c r="AQ234" s="198"/>
      <c r="AR234" s="198"/>
      <c r="AS234" s="198"/>
      <c r="AT234" s="198"/>
      <c r="AU234" s="198"/>
      <c r="AV234" s="198"/>
      <c r="AW234" s="198"/>
    </row>
    <row r="235" spans="1:49" x14ac:dyDescent="0.25">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322"/>
      <c r="Y235" s="198"/>
      <c r="Z235" s="198"/>
      <c r="AA235" s="198"/>
      <c r="AB235" s="198"/>
      <c r="AC235" s="198"/>
      <c r="AD235" s="198"/>
      <c r="AE235" s="198"/>
      <c r="AF235" s="198"/>
      <c r="AG235" s="198"/>
      <c r="AH235" s="198"/>
      <c r="AI235" s="198"/>
      <c r="AJ235" s="198"/>
      <c r="AK235" s="198"/>
      <c r="AL235" s="198"/>
      <c r="AM235" s="198"/>
      <c r="AN235" s="198"/>
      <c r="AO235" s="198"/>
      <c r="AP235" s="198"/>
      <c r="AQ235" s="198"/>
      <c r="AR235" s="198"/>
      <c r="AS235" s="198"/>
      <c r="AT235" s="198"/>
      <c r="AU235" s="198"/>
      <c r="AV235" s="198"/>
      <c r="AW235" s="198"/>
    </row>
    <row r="236" spans="1:49" x14ac:dyDescent="0.25">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322"/>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row>
    <row r="237" spans="1:49" x14ac:dyDescent="0.25">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322"/>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row>
    <row r="238" spans="1:49" x14ac:dyDescent="0.25">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322"/>
      <c r="Y238" s="198"/>
      <c r="Z238" s="198"/>
      <c r="AA238" s="198"/>
      <c r="AB238" s="198"/>
      <c r="AC238" s="198"/>
      <c r="AD238" s="198"/>
      <c r="AE238" s="198"/>
      <c r="AF238" s="198"/>
      <c r="AG238" s="198"/>
      <c r="AH238" s="198"/>
      <c r="AI238" s="198"/>
      <c r="AJ238" s="198"/>
      <c r="AK238" s="198"/>
      <c r="AL238" s="198"/>
      <c r="AM238" s="198"/>
      <c r="AN238" s="198"/>
      <c r="AO238" s="198"/>
      <c r="AP238" s="198"/>
      <c r="AQ238" s="198"/>
      <c r="AR238" s="198"/>
      <c r="AS238" s="198"/>
      <c r="AT238" s="198"/>
      <c r="AU238" s="198"/>
      <c r="AV238" s="198"/>
      <c r="AW238" s="198"/>
    </row>
    <row r="239" spans="1:49" x14ac:dyDescent="0.25">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322"/>
      <c r="Y239" s="198"/>
      <c r="Z239" s="198"/>
      <c r="AA239" s="198"/>
      <c r="AB239" s="198"/>
      <c r="AC239" s="198"/>
      <c r="AD239" s="198"/>
      <c r="AE239" s="198"/>
      <c r="AF239" s="198"/>
      <c r="AG239" s="198"/>
      <c r="AH239" s="198"/>
      <c r="AI239" s="198"/>
      <c r="AJ239" s="198"/>
      <c r="AK239" s="198"/>
      <c r="AL239" s="198"/>
      <c r="AM239" s="198"/>
      <c r="AN239" s="198"/>
      <c r="AO239" s="198"/>
      <c r="AP239" s="198"/>
      <c r="AQ239" s="198"/>
      <c r="AR239" s="198"/>
      <c r="AS239" s="198"/>
      <c r="AT239" s="198"/>
      <c r="AU239" s="198"/>
      <c r="AV239" s="198"/>
      <c r="AW239" s="198"/>
    </row>
    <row r="240" spans="1:49" x14ac:dyDescent="0.25">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322"/>
      <c r="Y240" s="198"/>
      <c r="Z240" s="198"/>
      <c r="AA240" s="198"/>
      <c r="AB240" s="198"/>
      <c r="AC240" s="198"/>
      <c r="AD240" s="198"/>
      <c r="AE240" s="198"/>
      <c r="AF240" s="198"/>
      <c r="AG240" s="198"/>
      <c r="AH240" s="198"/>
      <c r="AI240" s="198"/>
      <c r="AJ240" s="198"/>
      <c r="AK240" s="198"/>
      <c r="AL240" s="198"/>
      <c r="AM240" s="198"/>
      <c r="AN240" s="198"/>
      <c r="AO240" s="198"/>
      <c r="AP240" s="198"/>
      <c r="AQ240" s="198"/>
      <c r="AR240" s="198"/>
      <c r="AS240" s="198"/>
      <c r="AT240" s="198"/>
      <c r="AU240" s="198"/>
      <c r="AV240" s="198"/>
      <c r="AW240" s="198"/>
    </row>
    <row r="241" spans="1:49" x14ac:dyDescent="0.25">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322"/>
      <c r="Y241" s="198"/>
      <c r="Z241" s="198"/>
      <c r="AA241" s="198"/>
      <c r="AB241" s="198"/>
      <c r="AC241" s="198"/>
      <c r="AD241" s="198"/>
      <c r="AE241" s="198"/>
      <c r="AF241" s="198"/>
      <c r="AG241" s="198"/>
      <c r="AH241" s="198"/>
      <c r="AI241" s="198"/>
      <c r="AJ241" s="198"/>
      <c r="AK241" s="198"/>
      <c r="AL241" s="198"/>
      <c r="AM241" s="198"/>
      <c r="AN241" s="198"/>
      <c r="AO241" s="198"/>
      <c r="AP241" s="198"/>
      <c r="AQ241" s="198"/>
      <c r="AR241" s="198"/>
      <c r="AS241" s="198"/>
      <c r="AT241" s="198"/>
      <c r="AU241" s="198"/>
      <c r="AV241" s="198"/>
      <c r="AW241" s="198"/>
    </row>
    <row r="242" spans="1:49" x14ac:dyDescent="0.25">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322"/>
      <c r="Y242" s="198"/>
      <c r="Z242" s="198"/>
      <c r="AA242" s="198"/>
      <c r="AB242" s="198"/>
      <c r="AC242" s="198"/>
      <c r="AD242" s="198"/>
      <c r="AE242" s="198"/>
      <c r="AF242" s="198"/>
      <c r="AG242" s="198"/>
      <c r="AH242" s="198"/>
      <c r="AI242" s="198"/>
      <c r="AJ242" s="198"/>
      <c r="AK242" s="198"/>
      <c r="AL242" s="198"/>
      <c r="AM242" s="198"/>
      <c r="AN242" s="198"/>
      <c r="AO242" s="198"/>
      <c r="AP242" s="198"/>
      <c r="AQ242" s="198"/>
      <c r="AR242" s="198"/>
      <c r="AS242" s="198"/>
      <c r="AT242" s="198"/>
      <c r="AU242" s="198"/>
      <c r="AV242" s="198"/>
      <c r="AW242" s="198"/>
    </row>
    <row r="243" spans="1:49" x14ac:dyDescent="0.25">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322"/>
      <c r="Y243" s="198"/>
      <c r="Z243" s="198"/>
      <c r="AA243" s="198"/>
      <c r="AB243" s="198"/>
      <c r="AC243" s="198"/>
      <c r="AD243" s="198"/>
      <c r="AE243" s="198"/>
      <c r="AF243" s="198"/>
      <c r="AG243" s="198"/>
      <c r="AH243" s="198"/>
      <c r="AI243" s="198"/>
      <c r="AJ243" s="198"/>
      <c r="AK243" s="198"/>
      <c r="AL243" s="198"/>
      <c r="AM243" s="198"/>
      <c r="AN243" s="198"/>
      <c r="AO243" s="198"/>
      <c r="AP243" s="198"/>
      <c r="AQ243" s="198"/>
      <c r="AR243" s="198"/>
      <c r="AS243" s="198"/>
      <c r="AT243" s="198"/>
      <c r="AU243" s="198"/>
      <c r="AV243" s="198"/>
      <c r="AW243" s="198"/>
    </row>
    <row r="244" spans="1:49" x14ac:dyDescent="0.25">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322"/>
      <c r="Y244" s="198"/>
      <c r="Z244" s="198"/>
      <c r="AA244" s="198"/>
      <c r="AB244" s="198"/>
      <c r="AC244" s="198"/>
      <c r="AD244" s="198"/>
      <c r="AE244" s="198"/>
      <c r="AF244" s="198"/>
      <c r="AG244" s="198"/>
      <c r="AH244" s="198"/>
      <c r="AI244" s="198"/>
      <c r="AJ244" s="198"/>
      <c r="AK244" s="198"/>
      <c r="AL244" s="198"/>
      <c r="AM244" s="198"/>
      <c r="AN244" s="198"/>
      <c r="AO244" s="198"/>
      <c r="AP244" s="198"/>
      <c r="AQ244" s="198"/>
      <c r="AR244" s="198"/>
      <c r="AS244" s="198"/>
      <c r="AT244" s="198"/>
      <c r="AU244" s="198"/>
      <c r="AV244" s="198"/>
      <c r="AW244" s="198"/>
    </row>
    <row r="245" spans="1:49" x14ac:dyDescent="0.25">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322"/>
      <c r="Y245" s="198"/>
      <c r="Z245" s="198"/>
      <c r="AA245" s="198"/>
      <c r="AB245" s="198"/>
      <c r="AC245" s="198"/>
      <c r="AD245" s="198"/>
      <c r="AE245" s="198"/>
      <c r="AF245" s="198"/>
      <c r="AG245" s="198"/>
      <c r="AH245" s="198"/>
      <c r="AI245" s="198"/>
      <c r="AJ245" s="198"/>
      <c r="AK245" s="198"/>
      <c r="AL245" s="198"/>
      <c r="AM245" s="198"/>
      <c r="AN245" s="198"/>
      <c r="AO245" s="198"/>
      <c r="AP245" s="198"/>
      <c r="AQ245" s="198"/>
      <c r="AR245" s="198"/>
      <c r="AS245" s="198"/>
      <c r="AT245" s="198"/>
      <c r="AU245" s="198"/>
      <c r="AV245" s="198"/>
      <c r="AW245" s="198"/>
    </row>
    <row r="246" spans="1:49" x14ac:dyDescent="0.25">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322"/>
      <c r="Y246" s="198"/>
      <c r="Z246" s="198"/>
      <c r="AA246" s="198"/>
      <c r="AB246" s="198"/>
      <c r="AC246" s="198"/>
      <c r="AD246" s="198"/>
      <c r="AE246" s="198"/>
      <c r="AF246" s="198"/>
      <c r="AG246" s="198"/>
      <c r="AH246" s="198"/>
      <c r="AI246" s="198"/>
      <c r="AJ246" s="198"/>
      <c r="AK246" s="198"/>
      <c r="AL246" s="198"/>
      <c r="AM246" s="198"/>
      <c r="AN246" s="198"/>
      <c r="AO246" s="198"/>
      <c r="AP246" s="198"/>
      <c r="AQ246" s="198"/>
      <c r="AR246" s="198"/>
      <c r="AS246" s="198"/>
      <c r="AT246" s="198"/>
      <c r="AU246" s="198"/>
      <c r="AV246" s="198"/>
      <c r="AW246" s="198"/>
    </row>
    <row r="247" spans="1:49" x14ac:dyDescent="0.25">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322"/>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row>
    <row r="248" spans="1:49" x14ac:dyDescent="0.25">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322"/>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row>
    <row r="249" spans="1:49" x14ac:dyDescent="0.25">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322"/>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row>
    <row r="250" spans="1:49" x14ac:dyDescent="0.25">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322"/>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row>
    <row r="251" spans="1:49" x14ac:dyDescent="0.25">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322"/>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row>
    <row r="252" spans="1:49" x14ac:dyDescent="0.25">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322"/>
      <c r="Y252" s="198"/>
      <c r="Z252" s="198"/>
      <c r="AA252" s="198"/>
      <c r="AB252" s="198"/>
      <c r="AC252" s="198"/>
      <c r="AD252" s="198"/>
      <c r="AE252" s="198"/>
      <c r="AF252" s="198"/>
      <c r="AG252" s="198"/>
      <c r="AH252" s="198"/>
      <c r="AI252" s="198"/>
      <c r="AJ252" s="198"/>
      <c r="AK252" s="198"/>
      <c r="AL252" s="198"/>
      <c r="AM252" s="198"/>
      <c r="AN252" s="198"/>
      <c r="AO252" s="198"/>
      <c r="AP252" s="198"/>
      <c r="AQ252" s="198"/>
      <c r="AR252" s="198"/>
      <c r="AS252" s="198"/>
      <c r="AT252" s="198"/>
      <c r="AU252" s="198"/>
      <c r="AV252" s="198"/>
      <c r="AW252" s="198"/>
    </row>
    <row r="253" spans="1:49" x14ac:dyDescent="0.25">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322"/>
      <c r="Y253" s="198"/>
      <c r="Z253" s="198"/>
      <c r="AA253" s="198"/>
      <c r="AB253" s="198"/>
      <c r="AC253" s="198"/>
      <c r="AD253" s="198"/>
      <c r="AE253" s="198"/>
      <c r="AF253" s="198"/>
      <c r="AG253" s="198"/>
      <c r="AH253" s="198"/>
      <c r="AI253" s="198"/>
      <c r="AJ253" s="198"/>
      <c r="AK253" s="198"/>
      <c r="AL253" s="198"/>
      <c r="AM253" s="198"/>
      <c r="AN253" s="198"/>
      <c r="AO253" s="198"/>
      <c r="AP253" s="198"/>
      <c r="AQ253" s="198"/>
      <c r="AR253" s="198"/>
      <c r="AS253" s="198"/>
      <c r="AT253" s="198"/>
      <c r="AU253" s="198"/>
      <c r="AV253" s="198"/>
      <c r="AW253" s="198"/>
    </row>
    <row r="254" spans="1:49" x14ac:dyDescent="0.25">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322"/>
      <c r="Y254" s="198"/>
      <c r="Z254" s="198"/>
      <c r="AA254" s="198"/>
      <c r="AB254" s="198"/>
      <c r="AC254" s="198"/>
      <c r="AD254" s="198"/>
      <c r="AE254" s="198"/>
      <c r="AF254" s="198"/>
      <c r="AG254" s="198"/>
      <c r="AH254" s="198"/>
      <c r="AI254" s="198"/>
      <c r="AJ254" s="198"/>
      <c r="AK254" s="198"/>
      <c r="AL254" s="198"/>
      <c r="AM254" s="198"/>
      <c r="AN254" s="198"/>
      <c r="AO254" s="198"/>
      <c r="AP254" s="198"/>
      <c r="AQ254" s="198"/>
      <c r="AR254" s="198"/>
      <c r="AS254" s="198"/>
      <c r="AT254" s="198"/>
      <c r="AU254" s="198"/>
      <c r="AV254" s="198"/>
      <c r="AW254" s="198"/>
    </row>
    <row r="255" spans="1:49" x14ac:dyDescent="0.25">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322"/>
      <c r="Y255" s="198"/>
      <c r="Z255" s="198"/>
      <c r="AA255" s="198"/>
      <c r="AB255" s="198"/>
      <c r="AC255" s="198"/>
      <c r="AD255" s="198"/>
      <c r="AE255" s="198"/>
      <c r="AF255" s="198"/>
      <c r="AG255" s="198"/>
      <c r="AH255" s="198"/>
      <c r="AI255" s="198"/>
      <c r="AJ255" s="198"/>
      <c r="AK255" s="198"/>
      <c r="AL255" s="198"/>
      <c r="AM255" s="198"/>
      <c r="AN255" s="198"/>
      <c r="AO255" s="198"/>
      <c r="AP255" s="198"/>
      <c r="AQ255" s="198"/>
      <c r="AR255" s="198"/>
      <c r="AS255" s="198"/>
      <c r="AT255" s="198"/>
      <c r="AU255" s="198"/>
      <c r="AV255" s="198"/>
      <c r="AW255" s="198"/>
    </row>
    <row r="256" spans="1:49" x14ac:dyDescent="0.25">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322"/>
      <c r="Y256" s="198"/>
      <c r="Z256" s="198"/>
      <c r="AA256" s="198"/>
      <c r="AB256" s="198"/>
      <c r="AC256" s="198"/>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row>
    <row r="257" spans="1:49" x14ac:dyDescent="0.25">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322"/>
      <c r="Y257" s="198"/>
      <c r="Z257" s="198"/>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row>
    <row r="258" spans="1:49" x14ac:dyDescent="0.25">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322"/>
      <c r="Y258" s="198"/>
      <c r="Z258" s="198"/>
      <c r="AA258" s="198"/>
      <c r="AB258" s="198"/>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row>
    <row r="259" spans="1:49" x14ac:dyDescent="0.25">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322"/>
      <c r="Y259" s="198"/>
      <c r="Z259" s="198"/>
      <c r="AA259" s="198"/>
      <c r="AB259" s="198"/>
      <c r="AC259" s="198"/>
      <c r="AD259" s="198"/>
      <c r="AE259" s="198"/>
      <c r="AF259" s="198"/>
      <c r="AG259" s="198"/>
      <c r="AH259" s="198"/>
      <c r="AI259" s="198"/>
      <c r="AJ259" s="198"/>
      <c r="AK259" s="198"/>
      <c r="AL259" s="198"/>
      <c r="AM259" s="198"/>
      <c r="AN259" s="198"/>
      <c r="AO259" s="198"/>
      <c r="AP259" s="198"/>
      <c r="AQ259" s="198"/>
      <c r="AR259" s="198"/>
      <c r="AS259" s="198"/>
      <c r="AT259" s="198"/>
      <c r="AU259" s="198"/>
      <c r="AV259" s="198"/>
      <c r="AW259" s="198"/>
    </row>
    <row r="260" spans="1:49" x14ac:dyDescent="0.25">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322"/>
      <c r="Y260" s="198"/>
      <c r="Z260" s="198"/>
      <c r="AA260" s="198"/>
      <c r="AB260" s="198"/>
      <c r="AC260" s="198"/>
      <c r="AD260" s="198"/>
      <c r="AE260" s="198"/>
      <c r="AF260" s="198"/>
      <c r="AG260" s="198"/>
      <c r="AH260" s="198"/>
      <c r="AI260" s="198"/>
      <c r="AJ260" s="198"/>
      <c r="AK260" s="198"/>
      <c r="AL260" s="198"/>
      <c r="AM260" s="198"/>
      <c r="AN260" s="198"/>
      <c r="AO260" s="198"/>
      <c r="AP260" s="198"/>
      <c r="AQ260" s="198"/>
      <c r="AR260" s="198"/>
      <c r="AS260" s="198"/>
      <c r="AT260" s="198"/>
      <c r="AU260" s="198"/>
      <c r="AV260" s="198"/>
      <c r="AW260" s="198"/>
    </row>
    <row r="261" spans="1:49" x14ac:dyDescent="0.25">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322"/>
      <c r="Y261" s="198"/>
      <c r="Z261" s="198"/>
      <c r="AA261" s="198"/>
      <c r="AB261" s="198"/>
      <c r="AC261" s="198"/>
      <c r="AD261" s="198"/>
      <c r="AE261" s="198"/>
      <c r="AF261" s="198"/>
      <c r="AG261" s="198"/>
      <c r="AH261" s="198"/>
      <c r="AI261" s="198"/>
      <c r="AJ261" s="198"/>
      <c r="AK261" s="198"/>
      <c r="AL261" s="198"/>
      <c r="AM261" s="198"/>
      <c r="AN261" s="198"/>
      <c r="AO261" s="198"/>
      <c r="AP261" s="198"/>
      <c r="AQ261" s="198"/>
      <c r="AR261" s="198"/>
      <c r="AS261" s="198"/>
      <c r="AT261" s="198"/>
      <c r="AU261" s="198"/>
      <c r="AV261" s="198"/>
      <c r="AW261" s="198"/>
    </row>
    <row r="262" spans="1:49" x14ac:dyDescent="0.25">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322"/>
      <c r="Y262" s="198"/>
      <c r="Z262" s="198"/>
      <c r="AA262" s="198"/>
      <c r="AB262" s="198"/>
      <c r="AC262" s="198"/>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row>
    <row r="263" spans="1:49" x14ac:dyDescent="0.25">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322"/>
      <c r="Y263" s="198"/>
      <c r="Z263" s="198"/>
      <c r="AA263" s="198"/>
      <c r="AB263" s="198"/>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row>
    <row r="264" spans="1:49" x14ac:dyDescent="0.25">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322"/>
      <c r="Y264" s="198"/>
      <c r="Z264" s="198"/>
      <c r="AA264" s="198"/>
      <c r="AB264" s="198"/>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row>
    <row r="265" spans="1:49" x14ac:dyDescent="0.25">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322"/>
      <c r="Y265" s="198"/>
      <c r="Z265" s="198"/>
      <c r="AA265" s="198"/>
      <c r="AB265" s="198"/>
      <c r="AC265" s="198"/>
      <c r="AD265" s="198"/>
      <c r="AE265" s="198"/>
      <c r="AF265" s="198"/>
      <c r="AG265" s="198"/>
      <c r="AH265" s="198"/>
      <c r="AI265" s="198"/>
      <c r="AJ265" s="198"/>
      <c r="AK265" s="198"/>
      <c r="AL265" s="198"/>
      <c r="AM265" s="198"/>
      <c r="AN265" s="198"/>
      <c r="AO265" s="198"/>
      <c r="AP265" s="198"/>
      <c r="AQ265" s="198"/>
      <c r="AR265" s="198"/>
      <c r="AS265" s="198"/>
      <c r="AT265" s="198"/>
      <c r="AU265" s="198"/>
      <c r="AV265" s="198"/>
      <c r="AW265" s="198"/>
    </row>
    <row r="266" spans="1:49" x14ac:dyDescent="0.25">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322"/>
      <c r="Y266" s="198"/>
      <c r="Z266" s="198"/>
      <c r="AA266" s="198"/>
      <c r="AB266" s="198"/>
      <c r="AC266" s="198"/>
      <c r="AD266" s="198"/>
      <c r="AE266" s="198"/>
      <c r="AF266" s="198"/>
      <c r="AG266" s="198"/>
      <c r="AH266" s="198"/>
      <c r="AI266" s="198"/>
      <c r="AJ266" s="198"/>
      <c r="AK266" s="198"/>
      <c r="AL266" s="198"/>
      <c r="AM266" s="198"/>
      <c r="AN266" s="198"/>
      <c r="AO266" s="198"/>
      <c r="AP266" s="198"/>
      <c r="AQ266" s="198"/>
      <c r="AR266" s="198"/>
      <c r="AS266" s="198"/>
      <c r="AT266" s="198"/>
      <c r="AU266" s="198"/>
      <c r="AV266" s="198"/>
      <c r="AW266" s="198"/>
    </row>
    <row r="267" spans="1:49" x14ac:dyDescent="0.25">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322"/>
      <c r="Y267" s="198"/>
      <c r="Z267" s="198"/>
      <c r="AA267" s="198"/>
      <c r="AB267" s="198"/>
      <c r="AC267" s="198"/>
      <c r="AD267" s="198"/>
      <c r="AE267" s="198"/>
      <c r="AF267" s="198"/>
      <c r="AG267" s="198"/>
      <c r="AH267" s="198"/>
      <c r="AI267" s="198"/>
      <c r="AJ267" s="198"/>
      <c r="AK267" s="198"/>
      <c r="AL267" s="198"/>
      <c r="AM267" s="198"/>
      <c r="AN267" s="198"/>
      <c r="AO267" s="198"/>
      <c r="AP267" s="198"/>
      <c r="AQ267" s="198"/>
      <c r="AR267" s="198"/>
      <c r="AS267" s="198"/>
      <c r="AT267" s="198"/>
      <c r="AU267" s="198"/>
      <c r="AV267" s="198"/>
      <c r="AW267" s="198"/>
    </row>
    <row r="268" spans="1:49" x14ac:dyDescent="0.25">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322"/>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198"/>
      <c r="AU268" s="198"/>
      <c r="AV268" s="198"/>
      <c r="AW268" s="198"/>
    </row>
    <row r="269" spans="1:49" x14ac:dyDescent="0.25">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322"/>
      <c r="Y269" s="198"/>
      <c r="Z269" s="198"/>
      <c r="AA269" s="198"/>
      <c r="AB269" s="198"/>
      <c r="AC269" s="198"/>
      <c r="AD269" s="198"/>
      <c r="AE269" s="198"/>
      <c r="AF269" s="198"/>
      <c r="AG269" s="198"/>
      <c r="AH269" s="198"/>
      <c r="AI269" s="198"/>
      <c r="AJ269" s="198"/>
      <c r="AK269" s="198"/>
      <c r="AL269" s="198"/>
      <c r="AM269" s="198"/>
      <c r="AN269" s="198"/>
      <c r="AO269" s="198"/>
      <c r="AP269" s="198"/>
      <c r="AQ269" s="198"/>
      <c r="AR269" s="198"/>
      <c r="AS269" s="198"/>
      <c r="AT269" s="198"/>
      <c r="AU269" s="198"/>
      <c r="AV269" s="198"/>
      <c r="AW269" s="198"/>
    </row>
    <row r="270" spans="1:49" x14ac:dyDescent="0.25">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322"/>
      <c r="Y270" s="198"/>
      <c r="Z270" s="198"/>
      <c r="AA270" s="198"/>
      <c r="AB270" s="198"/>
      <c r="AC270" s="198"/>
      <c r="AD270" s="198"/>
      <c r="AE270" s="198"/>
      <c r="AF270" s="198"/>
      <c r="AG270" s="198"/>
      <c r="AH270" s="198"/>
      <c r="AI270" s="198"/>
      <c r="AJ270" s="198"/>
      <c r="AK270" s="198"/>
      <c r="AL270" s="198"/>
      <c r="AM270" s="198"/>
      <c r="AN270" s="198"/>
      <c r="AO270" s="198"/>
      <c r="AP270" s="198"/>
      <c r="AQ270" s="198"/>
      <c r="AR270" s="198"/>
      <c r="AS270" s="198"/>
      <c r="AT270" s="198"/>
      <c r="AU270" s="198"/>
      <c r="AV270" s="198"/>
      <c r="AW270" s="198"/>
    </row>
    <row r="271" spans="1:49" x14ac:dyDescent="0.25">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322"/>
      <c r="Y271" s="198"/>
      <c r="Z271" s="198"/>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row>
    <row r="272" spans="1:49" x14ac:dyDescent="0.25">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322"/>
      <c r="Y272" s="198"/>
      <c r="Z272" s="198"/>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row>
    <row r="273" spans="1:49" x14ac:dyDescent="0.25">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322"/>
      <c r="Y273" s="198"/>
      <c r="Z273" s="198"/>
      <c r="AA273" s="198"/>
      <c r="AB273" s="198"/>
      <c r="AC273" s="198"/>
      <c r="AD273" s="198"/>
      <c r="AE273" s="198"/>
      <c r="AF273" s="198"/>
      <c r="AG273" s="198"/>
      <c r="AH273" s="198"/>
      <c r="AI273" s="198"/>
      <c r="AJ273" s="198"/>
      <c r="AK273" s="198"/>
      <c r="AL273" s="198"/>
      <c r="AM273" s="198"/>
      <c r="AN273" s="198"/>
      <c r="AO273" s="198"/>
      <c r="AP273" s="198"/>
      <c r="AQ273" s="198"/>
      <c r="AR273" s="198"/>
      <c r="AS273" s="198"/>
      <c r="AT273" s="198"/>
      <c r="AU273" s="198"/>
      <c r="AV273" s="198"/>
      <c r="AW273" s="198"/>
    </row>
    <row r="274" spans="1:49" x14ac:dyDescent="0.25">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322"/>
      <c r="Y274" s="198"/>
      <c r="Z274" s="198"/>
      <c r="AA274" s="198"/>
      <c r="AB274" s="198"/>
      <c r="AC274" s="198"/>
      <c r="AD274" s="198"/>
      <c r="AE274" s="198"/>
      <c r="AF274" s="198"/>
      <c r="AG274" s="198"/>
      <c r="AH274" s="198"/>
      <c r="AI274" s="198"/>
      <c r="AJ274" s="198"/>
      <c r="AK274" s="198"/>
      <c r="AL274" s="198"/>
      <c r="AM274" s="198"/>
      <c r="AN274" s="198"/>
      <c r="AO274" s="198"/>
      <c r="AP274" s="198"/>
      <c r="AQ274" s="198"/>
      <c r="AR274" s="198"/>
      <c r="AS274" s="198"/>
      <c r="AT274" s="198"/>
      <c r="AU274" s="198"/>
      <c r="AV274" s="198"/>
      <c r="AW274" s="198"/>
    </row>
    <row r="275" spans="1:49" x14ac:dyDescent="0.25">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322"/>
      <c r="Y275" s="198"/>
      <c r="Z275" s="198"/>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row>
    <row r="276" spans="1:49" x14ac:dyDescent="0.25">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322"/>
      <c r="Y276" s="198"/>
      <c r="Z276" s="198"/>
      <c r="AA276" s="198"/>
      <c r="AB276" s="198"/>
      <c r="AC276" s="198"/>
      <c r="AD276" s="198"/>
      <c r="AE276" s="198"/>
      <c r="AF276" s="198"/>
      <c r="AG276" s="198"/>
      <c r="AH276" s="198"/>
      <c r="AI276" s="198"/>
      <c r="AJ276" s="198"/>
      <c r="AK276" s="198"/>
      <c r="AL276" s="198"/>
      <c r="AM276" s="198"/>
      <c r="AN276" s="198"/>
      <c r="AO276" s="198"/>
      <c r="AP276" s="198"/>
      <c r="AQ276" s="198"/>
      <c r="AR276" s="198"/>
      <c r="AS276" s="198"/>
      <c r="AT276" s="198"/>
      <c r="AU276" s="198"/>
      <c r="AV276" s="198"/>
      <c r="AW276" s="198"/>
    </row>
    <row r="277" spans="1:49" x14ac:dyDescent="0.25">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322"/>
      <c r="Y277" s="198"/>
      <c r="Z277" s="198"/>
      <c r="AA277" s="198"/>
      <c r="AB277" s="198"/>
      <c r="AC277" s="198"/>
      <c r="AD277" s="198"/>
      <c r="AE277" s="198"/>
      <c r="AF277" s="198"/>
      <c r="AG277" s="198"/>
      <c r="AH277" s="198"/>
      <c r="AI277" s="198"/>
      <c r="AJ277" s="198"/>
      <c r="AK277" s="198"/>
      <c r="AL277" s="198"/>
      <c r="AM277" s="198"/>
      <c r="AN277" s="198"/>
      <c r="AO277" s="198"/>
      <c r="AP277" s="198"/>
      <c r="AQ277" s="198"/>
      <c r="AR277" s="198"/>
      <c r="AS277" s="198"/>
      <c r="AT277" s="198"/>
      <c r="AU277" s="198"/>
      <c r="AV277" s="198"/>
      <c r="AW277" s="198"/>
    </row>
    <row r="278" spans="1:49" x14ac:dyDescent="0.25">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322"/>
      <c r="Y278" s="198"/>
      <c r="Z278" s="198"/>
      <c r="AA278" s="198"/>
      <c r="AB278" s="198"/>
      <c r="AC278" s="198"/>
      <c r="AD278" s="198"/>
      <c r="AE278" s="198"/>
      <c r="AF278" s="198"/>
      <c r="AG278" s="198"/>
      <c r="AH278" s="198"/>
      <c r="AI278" s="198"/>
      <c r="AJ278" s="198"/>
      <c r="AK278" s="198"/>
      <c r="AL278" s="198"/>
      <c r="AM278" s="198"/>
      <c r="AN278" s="198"/>
      <c r="AO278" s="198"/>
      <c r="AP278" s="198"/>
      <c r="AQ278" s="198"/>
      <c r="AR278" s="198"/>
      <c r="AS278" s="198"/>
      <c r="AT278" s="198"/>
      <c r="AU278" s="198"/>
      <c r="AV278" s="198"/>
      <c r="AW278" s="198"/>
    </row>
    <row r="279" spans="1:49" x14ac:dyDescent="0.25">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322"/>
      <c r="Y279" s="198"/>
      <c r="Z279" s="198"/>
      <c r="AA279" s="198"/>
      <c r="AB279" s="198"/>
      <c r="AC279" s="198"/>
      <c r="AD279" s="198"/>
      <c r="AE279" s="198"/>
      <c r="AF279" s="198"/>
      <c r="AG279" s="198"/>
      <c r="AH279" s="198"/>
      <c r="AI279" s="198"/>
      <c r="AJ279" s="198"/>
      <c r="AK279" s="198"/>
      <c r="AL279" s="198"/>
      <c r="AM279" s="198"/>
      <c r="AN279" s="198"/>
      <c r="AO279" s="198"/>
      <c r="AP279" s="198"/>
      <c r="AQ279" s="198"/>
      <c r="AR279" s="198"/>
      <c r="AS279" s="198"/>
      <c r="AT279" s="198"/>
      <c r="AU279" s="198"/>
      <c r="AV279" s="198"/>
      <c r="AW279" s="198"/>
    </row>
    <row r="280" spans="1:49" x14ac:dyDescent="0.25">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322"/>
      <c r="Y280" s="198"/>
      <c r="Z280" s="198"/>
      <c r="AA280" s="198"/>
      <c r="AB280" s="198"/>
      <c r="AC280" s="198"/>
      <c r="AD280" s="198"/>
      <c r="AE280" s="198"/>
      <c r="AF280" s="198"/>
      <c r="AG280" s="198"/>
      <c r="AH280" s="198"/>
      <c r="AI280" s="198"/>
      <c r="AJ280" s="198"/>
      <c r="AK280" s="198"/>
      <c r="AL280" s="198"/>
      <c r="AM280" s="198"/>
      <c r="AN280" s="198"/>
      <c r="AO280" s="198"/>
      <c r="AP280" s="198"/>
      <c r="AQ280" s="198"/>
      <c r="AR280" s="198"/>
      <c r="AS280" s="198"/>
      <c r="AT280" s="198"/>
      <c r="AU280" s="198"/>
      <c r="AV280" s="198"/>
      <c r="AW280" s="198"/>
    </row>
    <row r="281" spans="1:49" x14ac:dyDescent="0.25">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322"/>
      <c r="Y281" s="198"/>
      <c r="Z281" s="198"/>
      <c r="AA281" s="198"/>
      <c r="AB281" s="198"/>
      <c r="AC281" s="198"/>
      <c r="AD281" s="198"/>
      <c r="AE281" s="198"/>
      <c r="AF281" s="198"/>
      <c r="AG281" s="198"/>
      <c r="AH281" s="198"/>
      <c r="AI281" s="198"/>
      <c r="AJ281" s="198"/>
      <c r="AK281" s="198"/>
      <c r="AL281" s="198"/>
      <c r="AM281" s="198"/>
      <c r="AN281" s="198"/>
      <c r="AO281" s="198"/>
      <c r="AP281" s="198"/>
      <c r="AQ281" s="198"/>
      <c r="AR281" s="198"/>
      <c r="AS281" s="198"/>
      <c r="AT281" s="198"/>
      <c r="AU281" s="198"/>
      <c r="AV281" s="198"/>
      <c r="AW281" s="198"/>
    </row>
    <row r="282" spans="1:49" x14ac:dyDescent="0.25">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322"/>
      <c r="Y282" s="198"/>
      <c r="Z282" s="198"/>
      <c r="AA282" s="198"/>
      <c r="AB282" s="198"/>
      <c r="AC282" s="198"/>
      <c r="AD282" s="198"/>
      <c r="AE282" s="198"/>
      <c r="AF282" s="198"/>
      <c r="AG282" s="198"/>
      <c r="AH282" s="198"/>
      <c r="AI282" s="198"/>
      <c r="AJ282" s="198"/>
      <c r="AK282" s="198"/>
      <c r="AL282" s="198"/>
      <c r="AM282" s="198"/>
      <c r="AN282" s="198"/>
      <c r="AO282" s="198"/>
      <c r="AP282" s="198"/>
      <c r="AQ282" s="198"/>
      <c r="AR282" s="198"/>
      <c r="AS282" s="198"/>
      <c r="AT282" s="198"/>
      <c r="AU282" s="198"/>
      <c r="AV282" s="198"/>
      <c r="AW282" s="198"/>
    </row>
    <row r="283" spans="1:49" x14ac:dyDescent="0.25">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322"/>
      <c r="Y283" s="198"/>
      <c r="Z283" s="198"/>
      <c r="AA283" s="198"/>
      <c r="AB283" s="198"/>
      <c r="AC283" s="198"/>
      <c r="AD283" s="198"/>
      <c r="AE283" s="198"/>
      <c r="AF283" s="198"/>
      <c r="AG283" s="198"/>
      <c r="AH283" s="198"/>
      <c r="AI283" s="198"/>
      <c r="AJ283" s="198"/>
      <c r="AK283" s="198"/>
      <c r="AL283" s="198"/>
      <c r="AM283" s="198"/>
      <c r="AN283" s="198"/>
      <c r="AO283" s="198"/>
      <c r="AP283" s="198"/>
      <c r="AQ283" s="198"/>
      <c r="AR283" s="198"/>
      <c r="AS283" s="198"/>
      <c r="AT283" s="198"/>
      <c r="AU283" s="198"/>
      <c r="AV283" s="198"/>
      <c r="AW283" s="198"/>
    </row>
    <row r="284" spans="1:49" x14ac:dyDescent="0.25">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322"/>
      <c r="Y284" s="198"/>
      <c r="Z284" s="198"/>
      <c r="AA284" s="198"/>
      <c r="AB284" s="198"/>
      <c r="AC284" s="198"/>
      <c r="AD284" s="198"/>
      <c r="AE284" s="198"/>
      <c r="AF284" s="198"/>
      <c r="AG284" s="198"/>
      <c r="AH284" s="198"/>
      <c r="AI284" s="198"/>
      <c r="AJ284" s="198"/>
      <c r="AK284" s="198"/>
      <c r="AL284" s="198"/>
      <c r="AM284" s="198"/>
      <c r="AN284" s="198"/>
      <c r="AO284" s="198"/>
      <c r="AP284" s="198"/>
      <c r="AQ284" s="198"/>
      <c r="AR284" s="198"/>
      <c r="AS284" s="198"/>
      <c r="AT284" s="198"/>
      <c r="AU284" s="198"/>
      <c r="AV284" s="198"/>
      <c r="AW284" s="198"/>
    </row>
    <row r="285" spans="1:49" x14ac:dyDescent="0.25">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322"/>
      <c r="Y285" s="198"/>
      <c r="Z285" s="198"/>
      <c r="AA285" s="198"/>
      <c r="AB285" s="198"/>
      <c r="AC285" s="198"/>
      <c r="AD285" s="198"/>
      <c r="AE285" s="198"/>
      <c r="AF285" s="198"/>
      <c r="AG285" s="198"/>
      <c r="AH285" s="198"/>
      <c r="AI285" s="198"/>
      <c r="AJ285" s="198"/>
      <c r="AK285" s="198"/>
      <c r="AL285" s="198"/>
      <c r="AM285" s="198"/>
      <c r="AN285" s="198"/>
      <c r="AO285" s="198"/>
      <c r="AP285" s="198"/>
      <c r="AQ285" s="198"/>
      <c r="AR285" s="198"/>
      <c r="AS285" s="198"/>
      <c r="AT285" s="198"/>
      <c r="AU285" s="198"/>
      <c r="AV285" s="198"/>
      <c r="AW285" s="198"/>
    </row>
    <row r="286" spans="1:49" x14ac:dyDescent="0.25">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322"/>
      <c r="Y286" s="198"/>
      <c r="Z286" s="198"/>
      <c r="AA286" s="198"/>
      <c r="AB286" s="198"/>
      <c r="AC286" s="198"/>
      <c r="AD286" s="198"/>
      <c r="AE286" s="198"/>
      <c r="AF286" s="198"/>
      <c r="AG286" s="198"/>
      <c r="AH286" s="198"/>
      <c r="AI286" s="198"/>
      <c r="AJ286" s="198"/>
      <c r="AK286" s="198"/>
      <c r="AL286" s="198"/>
      <c r="AM286" s="198"/>
      <c r="AN286" s="198"/>
      <c r="AO286" s="198"/>
      <c r="AP286" s="198"/>
      <c r="AQ286" s="198"/>
      <c r="AR286" s="198"/>
      <c r="AS286" s="198"/>
      <c r="AT286" s="198"/>
      <c r="AU286" s="198"/>
      <c r="AV286" s="198"/>
      <c r="AW286" s="198"/>
    </row>
    <row r="287" spans="1:49" x14ac:dyDescent="0.25">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322"/>
      <c r="Y287" s="198"/>
      <c r="Z287" s="198"/>
      <c r="AA287" s="198"/>
      <c r="AB287" s="198"/>
      <c r="AC287" s="198"/>
      <c r="AD287" s="198"/>
      <c r="AE287" s="198"/>
      <c r="AF287" s="198"/>
      <c r="AG287" s="198"/>
      <c r="AH287" s="198"/>
      <c r="AI287" s="198"/>
      <c r="AJ287" s="198"/>
      <c r="AK287" s="198"/>
      <c r="AL287" s="198"/>
      <c r="AM287" s="198"/>
      <c r="AN287" s="198"/>
      <c r="AO287" s="198"/>
      <c r="AP287" s="198"/>
      <c r="AQ287" s="198"/>
      <c r="AR287" s="198"/>
      <c r="AS287" s="198"/>
      <c r="AT287" s="198"/>
      <c r="AU287" s="198"/>
      <c r="AV287" s="198"/>
      <c r="AW287" s="198"/>
    </row>
    <row r="288" spans="1:49" x14ac:dyDescent="0.25">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322"/>
      <c r="Y288" s="198"/>
      <c r="Z288" s="198"/>
      <c r="AA288" s="198"/>
      <c r="AB288" s="198"/>
      <c r="AC288" s="198"/>
      <c r="AD288" s="198"/>
      <c r="AE288" s="198"/>
      <c r="AF288" s="198"/>
      <c r="AG288" s="198"/>
      <c r="AH288" s="198"/>
      <c r="AI288" s="198"/>
      <c r="AJ288" s="198"/>
      <c r="AK288" s="198"/>
      <c r="AL288" s="198"/>
      <c r="AM288" s="198"/>
      <c r="AN288" s="198"/>
      <c r="AO288" s="198"/>
      <c r="AP288" s="198"/>
      <c r="AQ288" s="198"/>
      <c r="AR288" s="198"/>
      <c r="AS288" s="198"/>
      <c r="AT288" s="198"/>
      <c r="AU288" s="198"/>
      <c r="AV288" s="198"/>
      <c r="AW288" s="198"/>
    </row>
    <row r="289" spans="1:49" x14ac:dyDescent="0.25">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322"/>
      <c r="Y289" s="198"/>
      <c r="Z289" s="198"/>
      <c r="AA289" s="198"/>
      <c r="AB289" s="198"/>
      <c r="AC289" s="198"/>
      <c r="AD289" s="198"/>
      <c r="AE289" s="198"/>
      <c r="AF289" s="198"/>
      <c r="AG289" s="198"/>
      <c r="AH289" s="198"/>
      <c r="AI289" s="198"/>
      <c r="AJ289" s="198"/>
      <c r="AK289" s="198"/>
      <c r="AL289" s="198"/>
      <c r="AM289" s="198"/>
      <c r="AN289" s="198"/>
      <c r="AO289" s="198"/>
      <c r="AP289" s="198"/>
      <c r="AQ289" s="198"/>
      <c r="AR289" s="198"/>
      <c r="AS289" s="198"/>
      <c r="AT289" s="198"/>
      <c r="AU289" s="198"/>
      <c r="AV289" s="198"/>
      <c r="AW289" s="198"/>
    </row>
    <row r="290" spans="1:49" x14ac:dyDescent="0.25">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322"/>
      <c r="Y290" s="198"/>
      <c r="Z290" s="198"/>
      <c r="AA290" s="198"/>
      <c r="AB290" s="198"/>
      <c r="AC290" s="198"/>
      <c r="AD290" s="198"/>
      <c r="AE290" s="198"/>
      <c r="AF290" s="198"/>
      <c r="AG290" s="198"/>
      <c r="AH290" s="198"/>
      <c r="AI290" s="198"/>
      <c r="AJ290" s="198"/>
      <c r="AK290" s="198"/>
      <c r="AL290" s="198"/>
      <c r="AM290" s="198"/>
      <c r="AN290" s="198"/>
      <c r="AO290" s="198"/>
      <c r="AP290" s="198"/>
      <c r="AQ290" s="198"/>
      <c r="AR290" s="198"/>
      <c r="AS290" s="198"/>
      <c r="AT290" s="198"/>
      <c r="AU290" s="198"/>
      <c r="AV290" s="198"/>
      <c r="AW290" s="198"/>
    </row>
    <row r="291" spans="1:49" x14ac:dyDescent="0.25">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322"/>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row>
    <row r="292" spans="1:49" x14ac:dyDescent="0.25">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322"/>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row>
    <row r="293" spans="1:49" x14ac:dyDescent="0.25">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322"/>
      <c r="Y293" s="198"/>
      <c r="Z293" s="198"/>
      <c r="AA293" s="198"/>
      <c r="AB293" s="198"/>
      <c r="AC293" s="198"/>
      <c r="AD293" s="198"/>
      <c r="AE293" s="198"/>
      <c r="AF293" s="198"/>
      <c r="AG293" s="198"/>
      <c r="AH293" s="198"/>
      <c r="AI293" s="198"/>
      <c r="AJ293" s="198"/>
      <c r="AK293" s="198"/>
      <c r="AL293" s="198"/>
      <c r="AM293" s="198"/>
      <c r="AN293" s="198"/>
      <c r="AO293" s="198"/>
      <c r="AP293" s="198"/>
      <c r="AQ293" s="198"/>
      <c r="AR293" s="198"/>
      <c r="AS293" s="198"/>
      <c r="AT293" s="198"/>
      <c r="AU293" s="198"/>
      <c r="AV293" s="198"/>
      <c r="AW293" s="198"/>
    </row>
    <row r="294" spans="1:49" x14ac:dyDescent="0.25">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322"/>
      <c r="Y294" s="198"/>
      <c r="Z294" s="198"/>
      <c r="AA294" s="198"/>
      <c r="AB294" s="198"/>
      <c r="AC294" s="198"/>
      <c r="AD294" s="198"/>
      <c r="AE294" s="198"/>
      <c r="AF294" s="198"/>
      <c r="AG294" s="198"/>
      <c r="AH294" s="198"/>
      <c r="AI294" s="198"/>
      <c r="AJ294" s="198"/>
      <c r="AK294" s="198"/>
      <c r="AL294" s="198"/>
      <c r="AM294" s="198"/>
      <c r="AN294" s="198"/>
      <c r="AO294" s="198"/>
      <c r="AP294" s="198"/>
      <c r="AQ294" s="198"/>
      <c r="AR294" s="198"/>
      <c r="AS294" s="198"/>
      <c r="AT294" s="198"/>
      <c r="AU294" s="198"/>
      <c r="AV294" s="198"/>
      <c r="AW294" s="198"/>
    </row>
    <row r="295" spans="1:49" x14ac:dyDescent="0.25">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322"/>
      <c r="Y295" s="198"/>
      <c r="Z295" s="198"/>
      <c r="AA295" s="198"/>
      <c r="AB295" s="198"/>
      <c r="AC295" s="198"/>
      <c r="AD295" s="198"/>
      <c r="AE295" s="198"/>
      <c r="AF295" s="198"/>
      <c r="AG295" s="198"/>
      <c r="AH295" s="198"/>
      <c r="AI295" s="198"/>
      <c r="AJ295" s="198"/>
      <c r="AK295" s="198"/>
      <c r="AL295" s="198"/>
      <c r="AM295" s="198"/>
      <c r="AN295" s="198"/>
      <c r="AO295" s="198"/>
      <c r="AP295" s="198"/>
      <c r="AQ295" s="198"/>
      <c r="AR295" s="198"/>
      <c r="AS295" s="198"/>
      <c r="AT295" s="198"/>
      <c r="AU295" s="198"/>
      <c r="AV295" s="198"/>
      <c r="AW295" s="198"/>
    </row>
    <row r="296" spans="1:49" x14ac:dyDescent="0.25">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322"/>
      <c r="Y296" s="198"/>
      <c r="Z296" s="198"/>
      <c r="AA296" s="198"/>
      <c r="AB296" s="198"/>
      <c r="AC296" s="198"/>
      <c r="AD296" s="198"/>
      <c r="AE296" s="198"/>
      <c r="AF296" s="198"/>
      <c r="AG296" s="198"/>
      <c r="AH296" s="198"/>
      <c r="AI296" s="198"/>
      <c r="AJ296" s="198"/>
      <c r="AK296" s="198"/>
      <c r="AL296" s="198"/>
      <c r="AM296" s="198"/>
      <c r="AN296" s="198"/>
      <c r="AO296" s="198"/>
      <c r="AP296" s="198"/>
      <c r="AQ296" s="198"/>
      <c r="AR296" s="198"/>
      <c r="AS296" s="198"/>
      <c r="AT296" s="198"/>
      <c r="AU296" s="198"/>
      <c r="AV296" s="198"/>
      <c r="AW296" s="198"/>
    </row>
    <row r="297" spans="1:49" x14ac:dyDescent="0.25">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322"/>
      <c r="Y297" s="198"/>
      <c r="Z297" s="198"/>
      <c r="AA297" s="198"/>
      <c r="AB297" s="198"/>
      <c r="AC297" s="198"/>
      <c r="AD297" s="198"/>
      <c r="AE297" s="198"/>
      <c r="AF297" s="198"/>
      <c r="AG297" s="198"/>
      <c r="AH297" s="198"/>
      <c r="AI297" s="198"/>
      <c r="AJ297" s="198"/>
      <c r="AK297" s="198"/>
      <c r="AL297" s="198"/>
      <c r="AM297" s="198"/>
      <c r="AN297" s="198"/>
      <c r="AO297" s="198"/>
      <c r="AP297" s="198"/>
      <c r="AQ297" s="198"/>
      <c r="AR297" s="198"/>
      <c r="AS297" s="198"/>
      <c r="AT297" s="198"/>
      <c r="AU297" s="198"/>
      <c r="AV297" s="198"/>
      <c r="AW297" s="198"/>
    </row>
    <row r="298" spans="1:49" x14ac:dyDescent="0.25">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322"/>
      <c r="Y298" s="198"/>
      <c r="Z298" s="198"/>
      <c r="AA298" s="198"/>
      <c r="AB298" s="198"/>
      <c r="AC298" s="198"/>
      <c r="AD298" s="198"/>
      <c r="AE298" s="198"/>
      <c r="AF298" s="198"/>
      <c r="AG298" s="198"/>
      <c r="AH298" s="198"/>
      <c r="AI298" s="198"/>
      <c r="AJ298" s="198"/>
      <c r="AK298" s="198"/>
      <c r="AL298" s="198"/>
      <c r="AM298" s="198"/>
      <c r="AN298" s="198"/>
      <c r="AO298" s="198"/>
      <c r="AP298" s="198"/>
      <c r="AQ298" s="198"/>
      <c r="AR298" s="198"/>
      <c r="AS298" s="198"/>
      <c r="AT298" s="198"/>
      <c r="AU298" s="198"/>
      <c r="AV298" s="198"/>
      <c r="AW298" s="198"/>
    </row>
    <row r="299" spans="1:49" x14ac:dyDescent="0.25">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322"/>
      <c r="Y299" s="198"/>
      <c r="Z299" s="198"/>
      <c r="AA299" s="198"/>
      <c r="AB299" s="198"/>
      <c r="AC299" s="198"/>
      <c r="AD299" s="198"/>
      <c r="AE299" s="198"/>
      <c r="AF299" s="198"/>
      <c r="AG299" s="198"/>
      <c r="AH299" s="198"/>
      <c r="AI299" s="198"/>
      <c r="AJ299" s="198"/>
      <c r="AK299" s="198"/>
      <c r="AL299" s="198"/>
      <c r="AM299" s="198"/>
      <c r="AN299" s="198"/>
      <c r="AO299" s="198"/>
      <c r="AP299" s="198"/>
      <c r="AQ299" s="198"/>
      <c r="AR299" s="198"/>
      <c r="AS299" s="198"/>
      <c r="AT299" s="198"/>
      <c r="AU299" s="198"/>
      <c r="AV299" s="198"/>
      <c r="AW299" s="198"/>
    </row>
    <row r="300" spans="1:49" x14ac:dyDescent="0.25">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322"/>
      <c r="Y300" s="198"/>
      <c r="Z300" s="198"/>
      <c r="AA300" s="198"/>
      <c r="AB300" s="198"/>
      <c r="AC300" s="198"/>
      <c r="AD300" s="198"/>
      <c r="AE300" s="198"/>
      <c r="AF300" s="198"/>
      <c r="AG300" s="198"/>
      <c r="AH300" s="198"/>
      <c r="AI300" s="198"/>
      <c r="AJ300" s="198"/>
      <c r="AK300" s="198"/>
      <c r="AL300" s="198"/>
      <c r="AM300" s="198"/>
      <c r="AN300" s="198"/>
      <c r="AO300" s="198"/>
      <c r="AP300" s="198"/>
      <c r="AQ300" s="198"/>
      <c r="AR300" s="198"/>
      <c r="AS300" s="198"/>
      <c r="AT300" s="198"/>
      <c r="AU300" s="198"/>
      <c r="AV300" s="198"/>
      <c r="AW300" s="198"/>
    </row>
    <row r="301" spans="1:49" x14ac:dyDescent="0.25">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322"/>
      <c r="Y301" s="198"/>
      <c r="Z301" s="198"/>
      <c r="AA301" s="198"/>
      <c r="AB301" s="198"/>
      <c r="AC301" s="198"/>
      <c r="AD301" s="198"/>
      <c r="AE301" s="198"/>
      <c r="AF301" s="198"/>
      <c r="AG301" s="198"/>
      <c r="AH301" s="198"/>
      <c r="AI301" s="198"/>
      <c r="AJ301" s="198"/>
      <c r="AK301" s="198"/>
      <c r="AL301" s="198"/>
      <c r="AM301" s="198"/>
      <c r="AN301" s="198"/>
      <c r="AO301" s="198"/>
      <c r="AP301" s="198"/>
      <c r="AQ301" s="198"/>
      <c r="AR301" s="198"/>
      <c r="AS301" s="198"/>
      <c r="AT301" s="198"/>
      <c r="AU301" s="198"/>
      <c r="AV301" s="198"/>
      <c r="AW301" s="198"/>
    </row>
    <row r="302" spans="1:49" x14ac:dyDescent="0.25">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322"/>
      <c r="Y302" s="198"/>
      <c r="Z302" s="198"/>
      <c r="AA302" s="198"/>
      <c r="AB302" s="198"/>
      <c r="AC302" s="198"/>
      <c r="AD302" s="198"/>
      <c r="AE302" s="198"/>
      <c r="AF302" s="198"/>
      <c r="AG302" s="198"/>
      <c r="AH302" s="198"/>
      <c r="AI302" s="198"/>
      <c r="AJ302" s="198"/>
      <c r="AK302" s="198"/>
      <c r="AL302" s="198"/>
      <c r="AM302" s="198"/>
      <c r="AN302" s="198"/>
      <c r="AO302" s="198"/>
      <c r="AP302" s="198"/>
      <c r="AQ302" s="198"/>
      <c r="AR302" s="198"/>
      <c r="AS302" s="198"/>
      <c r="AT302" s="198"/>
      <c r="AU302" s="198"/>
      <c r="AV302" s="198"/>
      <c r="AW302" s="198"/>
    </row>
    <row r="303" spans="1:49" x14ac:dyDescent="0.25">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322"/>
      <c r="Y303" s="198"/>
      <c r="Z303" s="198"/>
      <c r="AA303" s="198"/>
      <c r="AB303" s="198"/>
      <c r="AC303" s="198"/>
      <c r="AD303" s="198"/>
      <c r="AE303" s="198"/>
      <c r="AF303" s="198"/>
      <c r="AG303" s="198"/>
      <c r="AH303" s="198"/>
      <c r="AI303" s="198"/>
      <c r="AJ303" s="198"/>
      <c r="AK303" s="198"/>
      <c r="AL303" s="198"/>
      <c r="AM303" s="198"/>
      <c r="AN303" s="198"/>
      <c r="AO303" s="198"/>
      <c r="AP303" s="198"/>
      <c r="AQ303" s="198"/>
      <c r="AR303" s="198"/>
      <c r="AS303" s="198"/>
      <c r="AT303" s="198"/>
      <c r="AU303" s="198"/>
      <c r="AV303" s="198"/>
      <c r="AW303" s="198"/>
    </row>
    <row r="304" spans="1:49" x14ac:dyDescent="0.25">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322"/>
      <c r="Y304" s="198"/>
      <c r="Z304" s="198"/>
      <c r="AA304" s="198"/>
      <c r="AB304" s="198"/>
      <c r="AC304" s="198"/>
      <c r="AD304" s="198"/>
      <c r="AE304" s="198"/>
      <c r="AF304" s="198"/>
      <c r="AG304" s="198"/>
      <c r="AH304" s="198"/>
      <c r="AI304" s="198"/>
      <c r="AJ304" s="198"/>
      <c r="AK304" s="198"/>
      <c r="AL304" s="198"/>
      <c r="AM304" s="198"/>
      <c r="AN304" s="198"/>
      <c r="AO304" s="198"/>
      <c r="AP304" s="198"/>
      <c r="AQ304" s="198"/>
      <c r="AR304" s="198"/>
      <c r="AS304" s="198"/>
      <c r="AT304" s="198"/>
      <c r="AU304" s="198"/>
      <c r="AV304" s="198"/>
      <c r="AW304" s="198"/>
    </row>
    <row r="305" spans="1:49" x14ac:dyDescent="0.25">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322"/>
      <c r="Y305" s="198"/>
      <c r="Z305" s="198"/>
      <c r="AA305" s="198"/>
      <c r="AB305" s="198"/>
      <c r="AC305" s="198"/>
      <c r="AD305" s="198"/>
      <c r="AE305" s="198"/>
      <c r="AF305" s="198"/>
      <c r="AG305" s="198"/>
      <c r="AH305" s="198"/>
      <c r="AI305" s="198"/>
      <c r="AJ305" s="198"/>
      <c r="AK305" s="198"/>
      <c r="AL305" s="198"/>
      <c r="AM305" s="198"/>
      <c r="AN305" s="198"/>
      <c r="AO305" s="198"/>
      <c r="AP305" s="198"/>
      <c r="AQ305" s="198"/>
      <c r="AR305" s="198"/>
      <c r="AS305" s="198"/>
      <c r="AT305" s="198"/>
      <c r="AU305" s="198"/>
      <c r="AV305" s="198"/>
      <c r="AW305" s="198"/>
    </row>
    <row r="306" spans="1:49" x14ac:dyDescent="0.25">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322"/>
      <c r="Y306" s="198"/>
      <c r="Z306" s="198"/>
      <c r="AA306" s="198"/>
      <c r="AB306" s="198"/>
      <c r="AC306" s="198"/>
      <c r="AD306" s="198"/>
      <c r="AE306" s="198"/>
      <c r="AF306" s="198"/>
      <c r="AG306" s="198"/>
      <c r="AH306" s="198"/>
      <c r="AI306" s="198"/>
      <c r="AJ306" s="198"/>
      <c r="AK306" s="198"/>
      <c r="AL306" s="198"/>
      <c r="AM306" s="198"/>
      <c r="AN306" s="198"/>
      <c r="AO306" s="198"/>
      <c r="AP306" s="198"/>
      <c r="AQ306" s="198"/>
      <c r="AR306" s="198"/>
      <c r="AS306" s="198"/>
      <c r="AT306" s="198"/>
      <c r="AU306" s="198"/>
      <c r="AV306" s="198"/>
      <c r="AW306" s="198"/>
    </row>
    <row r="307" spans="1:49" x14ac:dyDescent="0.25">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322"/>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row>
    <row r="308" spans="1:49" x14ac:dyDescent="0.25">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322"/>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row>
    <row r="309" spans="1:49" x14ac:dyDescent="0.25">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322"/>
      <c r="Y309" s="198"/>
      <c r="Z309" s="198"/>
      <c r="AA309" s="198"/>
      <c r="AB309" s="198"/>
      <c r="AC309" s="198"/>
      <c r="AD309" s="198"/>
      <c r="AE309" s="198"/>
      <c r="AF309" s="198"/>
      <c r="AG309" s="198"/>
      <c r="AH309" s="198"/>
      <c r="AI309" s="198"/>
      <c r="AJ309" s="198"/>
      <c r="AK309" s="198"/>
      <c r="AL309" s="198"/>
      <c r="AM309" s="198"/>
      <c r="AN309" s="198"/>
      <c r="AO309" s="198"/>
      <c r="AP309" s="198"/>
      <c r="AQ309" s="198"/>
      <c r="AR309" s="198"/>
      <c r="AS309" s="198"/>
      <c r="AT309" s="198"/>
      <c r="AU309" s="198"/>
      <c r="AV309" s="198"/>
      <c r="AW309" s="198"/>
    </row>
    <row r="310" spans="1:49" x14ac:dyDescent="0.25">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322"/>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row>
    <row r="311" spans="1:49" x14ac:dyDescent="0.25">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322"/>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row>
    <row r="312" spans="1:49" x14ac:dyDescent="0.25">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322"/>
      <c r="Y312" s="198"/>
      <c r="Z312" s="198"/>
      <c r="AA312" s="198"/>
      <c r="AB312" s="198"/>
      <c r="AC312" s="198"/>
      <c r="AD312" s="198"/>
      <c r="AE312" s="198"/>
      <c r="AF312" s="198"/>
      <c r="AG312" s="198"/>
      <c r="AH312" s="198"/>
      <c r="AI312" s="198"/>
      <c r="AJ312" s="198"/>
      <c r="AK312" s="198"/>
      <c r="AL312" s="198"/>
      <c r="AM312" s="198"/>
      <c r="AN312" s="198"/>
      <c r="AO312" s="198"/>
      <c r="AP312" s="198"/>
      <c r="AQ312" s="198"/>
      <c r="AR312" s="198"/>
      <c r="AS312" s="198"/>
      <c r="AT312" s="198"/>
      <c r="AU312" s="198"/>
      <c r="AV312" s="198"/>
      <c r="AW312" s="198"/>
    </row>
    <row r="313" spans="1:49" x14ac:dyDescent="0.25">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322"/>
      <c r="Y313" s="198"/>
      <c r="Z313" s="198"/>
      <c r="AA313" s="198"/>
      <c r="AB313" s="198"/>
      <c r="AC313" s="198"/>
      <c r="AD313" s="198"/>
      <c r="AE313" s="198"/>
      <c r="AF313" s="198"/>
      <c r="AG313" s="198"/>
      <c r="AH313" s="198"/>
      <c r="AI313" s="198"/>
      <c r="AJ313" s="198"/>
      <c r="AK313" s="198"/>
      <c r="AL313" s="198"/>
      <c r="AM313" s="198"/>
      <c r="AN313" s="198"/>
      <c r="AO313" s="198"/>
      <c r="AP313" s="198"/>
      <c r="AQ313" s="198"/>
      <c r="AR313" s="198"/>
      <c r="AS313" s="198"/>
      <c r="AT313" s="198"/>
      <c r="AU313" s="198"/>
      <c r="AV313" s="198"/>
      <c r="AW313" s="198"/>
    </row>
    <row r="314" spans="1:49" x14ac:dyDescent="0.25">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322"/>
      <c r="Y314" s="198"/>
      <c r="Z314" s="198"/>
      <c r="AA314" s="198"/>
      <c r="AB314" s="198"/>
      <c r="AC314" s="198"/>
      <c r="AD314" s="198"/>
      <c r="AE314" s="198"/>
      <c r="AF314" s="198"/>
      <c r="AG314" s="198"/>
      <c r="AH314" s="198"/>
      <c r="AI314" s="198"/>
      <c r="AJ314" s="198"/>
      <c r="AK314" s="198"/>
      <c r="AL314" s="198"/>
      <c r="AM314" s="198"/>
      <c r="AN314" s="198"/>
      <c r="AO314" s="198"/>
      <c r="AP314" s="198"/>
      <c r="AQ314" s="198"/>
      <c r="AR314" s="198"/>
      <c r="AS314" s="198"/>
      <c r="AT314" s="198"/>
      <c r="AU314" s="198"/>
      <c r="AV314" s="198"/>
      <c r="AW314" s="198"/>
    </row>
    <row r="315" spans="1:49" x14ac:dyDescent="0.25">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322"/>
      <c r="Y315" s="198"/>
      <c r="Z315" s="198"/>
      <c r="AA315" s="198"/>
      <c r="AB315" s="198"/>
      <c r="AC315" s="198"/>
      <c r="AD315" s="198"/>
      <c r="AE315" s="198"/>
      <c r="AF315" s="198"/>
      <c r="AG315" s="198"/>
      <c r="AH315" s="198"/>
      <c r="AI315" s="198"/>
      <c r="AJ315" s="198"/>
      <c r="AK315" s="198"/>
      <c r="AL315" s="198"/>
      <c r="AM315" s="198"/>
      <c r="AN315" s="198"/>
      <c r="AO315" s="198"/>
      <c r="AP315" s="198"/>
      <c r="AQ315" s="198"/>
      <c r="AR315" s="198"/>
      <c r="AS315" s="198"/>
      <c r="AT315" s="198"/>
      <c r="AU315" s="198"/>
      <c r="AV315" s="198"/>
      <c r="AW315" s="198"/>
    </row>
    <row r="316" spans="1:49" x14ac:dyDescent="0.25">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322"/>
      <c r="Y316" s="198"/>
      <c r="Z316" s="198"/>
      <c r="AA316" s="198"/>
      <c r="AB316" s="198"/>
      <c r="AC316" s="198"/>
      <c r="AD316" s="198"/>
      <c r="AE316" s="198"/>
      <c r="AF316" s="198"/>
      <c r="AG316" s="198"/>
      <c r="AH316" s="198"/>
      <c r="AI316" s="198"/>
      <c r="AJ316" s="198"/>
      <c r="AK316" s="198"/>
      <c r="AL316" s="198"/>
      <c r="AM316" s="198"/>
      <c r="AN316" s="198"/>
      <c r="AO316" s="198"/>
      <c r="AP316" s="198"/>
      <c r="AQ316" s="198"/>
      <c r="AR316" s="198"/>
      <c r="AS316" s="198"/>
      <c r="AT316" s="198"/>
      <c r="AU316" s="198"/>
      <c r="AV316" s="198"/>
      <c r="AW316" s="198"/>
    </row>
    <row r="317" spans="1:49" x14ac:dyDescent="0.25">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322"/>
      <c r="Y317" s="198"/>
      <c r="Z317" s="198"/>
      <c r="AA317" s="198"/>
      <c r="AB317" s="198"/>
      <c r="AC317" s="198"/>
      <c r="AD317" s="198"/>
      <c r="AE317" s="198"/>
      <c r="AF317" s="198"/>
      <c r="AG317" s="198"/>
      <c r="AH317" s="198"/>
      <c r="AI317" s="198"/>
      <c r="AJ317" s="198"/>
      <c r="AK317" s="198"/>
      <c r="AL317" s="198"/>
      <c r="AM317" s="198"/>
      <c r="AN317" s="198"/>
      <c r="AO317" s="198"/>
      <c r="AP317" s="198"/>
      <c r="AQ317" s="198"/>
      <c r="AR317" s="198"/>
      <c r="AS317" s="198"/>
      <c r="AT317" s="198"/>
      <c r="AU317" s="198"/>
      <c r="AV317" s="198"/>
      <c r="AW317" s="198"/>
    </row>
    <row r="318" spans="1:49" x14ac:dyDescent="0.25">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322"/>
      <c r="Y318" s="198"/>
      <c r="Z318" s="198"/>
      <c r="AA318" s="198"/>
      <c r="AB318" s="198"/>
      <c r="AC318" s="198"/>
      <c r="AD318" s="198"/>
      <c r="AE318" s="198"/>
      <c r="AF318" s="198"/>
      <c r="AG318" s="198"/>
      <c r="AH318" s="198"/>
      <c r="AI318" s="198"/>
      <c r="AJ318" s="198"/>
      <c r="AK318" s="198"/>
      <c r="AL318" s="198"/>
      <c r="AM318" s="198"/>
      <c r="AN318" s="198"/>
      <c r="AO318" s="198"/>
      <c r="AP318" s="198"/>
      <c r="AQ318" s="198"/>
      <c r="AR318" s="198"/>
      <c r="AS318" s="198"/>
      <c r="AT318" s="198"/>
      <c r="AU318" s="198"/>
      <c r="AV318" s="198"/>
      <c r="AW318" s="198"/>
    </row>
    <row r="319" spans="1:49" x14ac:dyDescent="0.25">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322"/>
      <c r="Y319" s="198"/>
      <c r="Z319" s="198"/>
      <c r="AA319" s="198"/>
      <c r="AB319" s="198"/>
      <c r="AC319" s="198"/>
      <c r="AD319" s="198"/>
      <c r="AE319" s="198"/>
      <c r="AF319" s="198"/>
      <c r="AG319" s="198"/>
      <c r="AH319" s="198"/>
      <c r="AI319" s="198"/>
      <c r="AJ319" s="198"/>
      <c r="AK319" s="198"/>
      <c r="AL319" s="198"/>
      <c r="AM319" s="198"/>
      <c r="AN319" s="198"/>
      <c r="AO319" s="198"/>
      <c r="AP319" s="198"/>
      <c r="AQ319" s="198"/>
      <c r="AR319" s="198"/>
      <c r="AS319" s="198"/>
      <c r="AT319" s="198"/>
      <c r="AU319" s="198"/>
      <c r="AV319" s="198"/>
      <c r="AW319" s="198"/>
    </row>
    <row r="320" spans="1:49" x14ac:dyDescent="0.25">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322"/>
      <c r="Y320" s="198"/>
      <c r="Z320" s="198"/>
      <c r="AA320" s="198"/>
      <c r="AB320" s="198"/>
      <c r="AC320" s="198"/>
      <c r="AD320" s="198"/>
      <c r="AE320" s="198"/>
      <c r="AF320" s="198"/>
      <c r="AG320" s="198"/>
      <c r="AH320" s="198"/>
      <c r="AI320" s="198"/>
      <c r="AJ320" s="198"/>
      <c r="AK320" s="198"/>
      <c r="AL320" s="198"/>
      <c r="AM320" s="198"/>
      <c r="AN320" s="198"/>
      <c r="AO320" s="198"/>
      <c r="AP320" s="198"/>
      <c r="AQ320" s="198"/>
      <c r="AR320" s="198"/>
      <c r="AS320" s="198"/>
      <c r="AT320" s="198"/>
      <c r="AU320" s="198"/>
      <c r="AV320" s="198"/>
      <c r="AW320" s="198"/>
    </row>
    <row r="321" spans="1:49" x14ac:dyDescent="0.25">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322"/>
      <c r="Y321" s="198"/>
      <c r="Z321" s="198"/>
      <c r="AA321" s="198"/>
      <c r="AB321" s="198"/>
      <c r="AC321" s="198"/>
      <c r="AD321" s="198"/>
      <c r="AE321" s="198"/>
      <c r="AF321" s="198"/>
      <c r="AG321" s="198"/>
      <c r="AH321" s="198"/>
      <c r="AI321" s="198"/>
      <c r="AJ321" s="198"/>
      <c r="AK321" s="198"/>
      <c r="AL321" s="198"/>
      <c r="AM321" s="198"/>
      <c r="AN321" s="198"/>
      <c r="AO321" s="198"/>
      <c r="AP321" s="198"/>
      <c r="AQ321" s="198"/>
      <c r="AR321" s="198"/>
      <c r="AS321" s="198"/>
      <c r="AT321" s="198"/>
      <c r="AU321" s="198"/>
      <c r="AV321" s="198"/>
      <c r="AW321" s="198"/>
    </row>
    <row r="322" spans="1:49" x14ac:dyDescent="0.25">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322"/>
      <c r="Y322" s="198"/>
      <c r="Z322" s="198"/>
      <c r="AA322" s="198"/>
      <c r="AB322" s="198"/>
      <c r="AC322" s="198"/>
      <c r="AD322" s="198"/>
      <c r="AE322" s="198"/>
      <c r="AF322" s="198"/>
      <c r="AG322" s="198"/>
      <c r="AH322" s="198"/>
      <c r="AI322" s="198"/>
      <c r="AJ322" s="198"/>
      <c r="AK322" s="198"/>
      <c r="AL322" s="198"/>
      <c r="AM322" s="198"/>
      <c r="AN322" s="198"/>
      <c r="AO322" s="198"/>
      <c r="AP322" s="198"/>
      <c r="AQ322" s="198"/>
      <c r="AR322" s="198"/>
      <c r="AS322" s="198"/>
      <c r="AT322" s="198"/>
      <c r="AU322" s="198"/>
      <c r="AV322" s="198"/>
      <c r="AW322" s="198"/>
    </row>
    <row r="323" spans="1:49" x14ac:dyDescent="0.25">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322"/>
      <c r="Y323" s="198"/>
      <c r="Z323" s="198"/>
      <c r="AA323" s="198"/>
      <c r="AB323" s="198"/>
      <c r="AC323" s="198"/>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row>
    <row r="324" spans="1:49" x14ac:dyDescent="0.25">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322"/>
      <c r="Y324" s="198"/>
      <c r="Z324" s="198"/>
      <c r="AA324" s="198"/>
      <c r="AB324" s="198"/>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row>
    <row r="325" spans="1:49" x14ac:dyDescent="0.25">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322"/>
      <c r="Y325" s="198"/>
      <c r="Z325" s="198"/>
      <c r="AA325" s="198"/>
      <c r="AB325" s="198"/>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row>
    <row r="326" spans="1:49" x14ac:dyDescent="0.25">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322"/>
      <c r="Y326" s="198"/>
      <c r="Z326" s="198"/>
      <c r="AA326" s="198"/>
      <c r="AB326" s="198"/>
      <c r="AC326" s="198"/>
      <c r="AD326" s="198"/>
      <c r="AE326" s="198"/>
      <c r="AF326" s="198"/>
      <c r="AG326" s="198"/>
      <c r="AH326" s="198"/>
      <c r="AI326" s="198"/>
      <c r="AJ326" s="198"/>
      <c r="AK326" s="198"/>
      <c r="AL326" s="198"/>
      <c r="AM326" s="198"/>
      <c r="AN326" s="198"/>
      <c r="AO326" s="198"/>
      <c r="AP326" s="198"/>
      <c r="AQ326" s="198"/>
      <c r="AR326" s="198"/>
      <c r="AS326" s="198"/>
      <c r="AT326" s="198"/>
      <c r="AU326" s="198"/>
      <c r="AV326" s="198"/>
      <c r="AW326" s="198"/>
    </row>
    <row r="327" spans="1:49" x14ac:dyDescent="0.25">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322"/>
      <c r="Y327" s="198"/>
      <c r="Z327" s="198"/>
      <c r="AA327" s="198"/>
      <c r="AB327" s="198"/>
      <c r="AC327" s="198"/>
      <c r="AD327" s="198"/>
      <c r="AE327" s="198"/>
      <c r="AF327" s="198"/>
      <c r="AG327" s="198"/>
      <c r="AH327" s="198"/>
      <c r="AI327" s="198"/>
      <c r="AJ327" s="198"/>
      <c r="AK327" s="198"/>
      <c r="AL327" s="198"/>
      <c r="AM327" s="198"/>
      <c r="AN327" s="198"/>
      <c r="AO327" s="198"/>
      <c r="AP327" s="198"/>
      <c r="AQ327" s="198"/>
      <c r="AR327" s="198"/>
      <c r="AS327" s="198"/>
      <c r="AT327" s="198"/>
      <c r="AU327" s="198"/>
      <c r="AV327" s="198"/>
      <c r="AW327" s="198"/>
    </row>
    <row r="328" spans="1:49" x14ac:dyDescent="0.25">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322"/>
      <c r="Y328" s="198"/>
      <c r="Z328" s="198"/>
      <c r="AA328" s="198"/>
      <c r="AB328" s="198"/>
      <c r="AC328" s="198"/>
      <c r="AD328" s="198"/>
      <c r="AE328" s="198"/>
      <c r="AF328" s="198"/>
      <c r="AG328" s="198"/>
      <c r="AH328" s="198"/>
      <c r="AI328" s="198"/>
      <c r="AJ328" s="198"/>
      <c r="AK328" s="198"/>
      <c r="AL328" s="198"/>
      <c r="AM328" s="198"/>
      <c r="AN328" s="198"/>
      <c r="AO328" s="198"/>
      <c r="AP328" s="198"/>
      <c r="AQ328" s="198"/>
      <c r="AR328" s="198"/>
      <c r="AS328" s="198"/>
      <c r="AT328" s="198"/>
      <c r="AU328" s="198"/>
      <c r="AV328" s="198"/>
      <c r="AW328" s="198"/>
    </row>
    <row r="329" spans="1:49" x14ac:dyDescent="0.25">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322"/>
      <c r="Y329" s="198"/>
      <c r="Z329" s="198"/>
      <c r="AA329" s="198"/>
      <c r="AB329" s="198"/>
      <c r="AC329" s="198"/>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row>
    <row r="330" spans="1:49" x14ac:dyDescent="0.25">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322"/>
      <c r="Y330" s="198"/>
      <c r="Z330" s="198"/>
      <c r="AA330" s="198"/>
      <c r="AB330" s="198"/>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row>
    <row r="331" spans="1:49" x14ac:dyDescent="0.25">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322"/>
      <c r="Y331" s="198"/>
      <c r="Z331" s="198"/>
      <c r="AA331" s="198"/>
      <c r="AB331" s="198"/>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row>
    <row r="332" spans="1:49" x14ac:dyDescent="0.25">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322"/>
      <c r="Y332" s="198"/>
      <c r="Z332" s="198"/>
      <c r="AA332" s="198"/>
      <c r="AB332" s="198"/>
      <c r="AC332" s="198"/>
      <c r="AD332" s="198"/>
      <c r="AE332" s="198"/>
      <c r="AF332" s="198"/>
      <c r="AG332" s="198"/>
      <c r="AH332" s="198"/>
      <c r="AI332" s="198"/>
      <c r="AJ332" s="198"/>
      <c r="AK332" s="198"/>
      <c r="AL332" s="198"/>
      <c r="AM332" s="198"/>
      <c r="AN332" s="198"/>
      <c r="AO332" s="198"/>
      <c r="AP332" s="198"/>
      <c r="AQ332" s="198"/>
      <c r="AR332" s="198"/>
      <c r="AS332" s="198"/>
      <c r="AT332" s="198"/>
      <c r="AU332" s="198"/>
      <c r="AV332" s="198"/>
      <c r="AW332" s="198"/>
    </row>
    <row r="333" spans="1:49" x14ac:dyDescent="0.25">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322"/>
      <c r="Y333" s="198"/>
      <c r="Z333" s="198"/>
      <c r="AA333" s="198"/>
      <c r="AB333" s="198"/>
      <c r="AC333" s="198"/>
      <c r="AD333" s="198"/>
      <c r="AE333" s="198"/>
      <c r="AF333" s="198"/>
      <c r="AG333" s="198"/>
      <c r="AH333" s="198"/>
      <c r="AI333" s="198"/>
      <c r="AJ333" s="198"/>
      <c r="AK333" s="198"/>
      <c r="AL333" s="198"/>
      <c r="AM333" s="198"/>
      <c r="AN333" s="198"/>
      <c r="AO333" s="198"/>
      <c r="AP333" s="198"/>
      <c r="AQ333" s="198"/>
      <c r="AR333" s="198"/>
      <c r="AS333" s="198"/>
      <c r="AT333" s="198"/>
      <c r="AU333" s="198"/>
      <c r="AV333" s="198"/>
      <c r="AW333" s="198"/>
    </row>
    <row r="334" spans="1:49" x14ac:dyDescent="0.25">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322"/>
      <c r="Y334" s="198"/>
      <c r="Z334" s="198"/>
      <c r="AA334" s="198"/>
      <c r="AB334" s="198"/>
      <c r="AC334" s="198"/>
      <c r="AD334" s="198"/>
      <c r="AE334" s="198"/>
      <c r="AF334" s="198"/>
      <c r="AG334" s="198"/>
      <c r="AH334" s="198"/>
      <c r="AI334" s="198"/>
      <c r="AJ334" s="198"/>
      <c r="AK334" s="198"/>
      <c r="AL334" s="198"/>
      <c r="AM334" s="198"/>
      <c r="AN334" s="198"/>
      <c r="AO334" s="198"/>
      <c r="AP334" s="198"/>
      <c r="AQ334" s="198"/>
      <c r="AR334" s="198"/>
      <c r="AS334" s="198"/>
      <c r="AT334" s="198"/>
      <c r="AU334" s="198"/>
      <c r="AV334" s="198"/>
      <c r="AW334" s="198"/>
    </row>
    <row r="335" spans="1:49" x14ac:dyDescent="0.25">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322"/>
      <c r="Y335" s="198"/>
      <c r="Z335" s="198"/>
      <c r="AA335" s="198"/>
      <c r="AB335" s="198"/>
      <c r="AC335" s="198"/>
      <c r="AD335" s="198"/>
      <c r="AE335" s="198"/>
      <c r="AF335" s="198"/>
      <c r="AG335" s="198"/>
      <c r="AH335" s="198"/>
      <c r="AI335" s="198"/>
      <c r="AJ335" s="198"/>
      <c r="AK335" s="198"/>
      <c r="AL335" s="198"/>
      <c r="AM335" s="198"/>
      <c r="AN335" s="198"/>
      <c r="AO335" s="198"/>
      <c r="AP335" s="198"/>
      <c r="AQ335" s="198"/>
      <c r="AR335" s="198"/>
      <c r="AS335" s="198"/>
      <c r="AT335" s="198"/>
      <c r="AU335" s="198"/>
      <c r="AV335" s="198"/>
      <c r="AW335" s="198"/>
    </row>
    <row r="336" spans="1:49" x14ac:dyDescent="0.25">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322"/>
      <c r="Y336" s="198"/>
      <c r="Z336" s="198"/>
      <c r="AA336" s="198"/>
      <c r="AB336" s="198"/>
      <c r="AC336" s="198"/>
      <c r="AD336" s="198"/>
      <c r="AE336" s="198"/>
      <c r="AF336" s="198"/>
      <c r="AG336" s="198"/>
      <c r="AH336" s="198"/>
      <c r="AI336" s="198"/>
      <c r="AJ336" s="198"/>
      <c r="AK336" s="198"/>
      <c r="AL336" s="198"/>
      <c r="AM336" s="198"/>
      <c r="AN336" s="198"/>
      <c r="AO336" s="198"/>
      <c r="AP336" s="198"/>
      <c r="AQ336" s="198"/>
      <c r="AR336" s="198"/>
      <c r="AS336" s="198"/>
      <c r="AT336" s="198"/>
      <c r="AU336" s="198"/>
      <c r="AV336" s="198"/>
      <c r="AW336" s="198"/>
    </row>
    <row r="337" spans="1:49" x14ac:dyDescent="0.25">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322"/>
      <c r="Y337" s="198"/>
      <c r="Z337" s="198"/>
      <c r="AA337" s="198"/>
      <c r="AB337" s="198"/>
      <c r="AC337" s="198"/>
      <c r="AD337" s="198"/>
      <c r="AE337" s="198"/>
      <c r="AF337" s="198"/>
      <c r="AG337" s="198"/>
      <c r="AH337" s="198"/>
      <c r="AI337" s="198"/>
      <c r="AJ337" s="198"/>
      <c r="AK337" s="198"/>
      <c r="AL337" s="198"/>
      <c r="AM337" s="198"/>
      <c r="AN337" s="198"/>
      <c r="AO337" s="198"/>
      <c r="AP337" s="198"/>
      <c r="AQ337" s="198"/>
      <c r="AR337" s="198"/>
      <c r="AS337" s="198"/>
      <c r="AT337" s="198"/>
      <c r="AU337" s="198"/>
      <c r="AV337" s="198"/>
      <c r="AW337" s="198"/>
    </row>
    <row r="338" spans="1:49" x14ac:dyDescent="0.25">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322"/>
      <c r="Y338" s="198"/>
      <c r="Z338" s="198"/>
      <c r="AA338" s="198"/>
      <c r="AB338" s="198"/>
      <c r="AC338" s="198"/>
      <c r="AD338" s="198"/>
      <c r="AE338" s="198"/>
      <c r="AF338" s="198"/>
      <c r="AG338" s="198"/>
      <c r="AH338" s="198"/>
      <c r="AI338" s="198"/>
      <c r="AJ338" s="198"/>
      <c r="AK338" s="198"/>
      <c r="AL338" s="198"/>
      <c r="AM338" s="198"/>
      <c r="AN338" s="198"/>
      <c r="AO338" s="198"/>
      <c r="AP338" s="198"/>
      <c r="AQ338" s="198"/>
      <c r="AR338" s="198"/>
      <c r="AS338" s="198"/>
      <c r="AT338" s="198"/>
      <c r="AU338" s="198"/>
      <c r="AV338" s="198"/>
      <c r="AW338" s="198"/>
    </row>
    <row r="339" spans="1:49" x14ac:dyDescent="0.25">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322"/>
      <c r="Y339" s="198"/>
      <c r="Z339" s="198"/>
      <c r="AA339" s="198"/>
      <c r="AB339" s="198"/>
      <c r="AC339" s="198"/>
      <c r="AD339" s="198"/>
      <c r="AE339" s="198"/>
      <c r="AF339" s="198"/>
      <c r="AG339" s="198"/>
      <c r="AH339" s="198"/>
      <c r="AI339" s="198"/>
      <c r="AJ339" s="198"/>
      <c r="AK339" s="198"/>
      <c r="AL339" s="198"/>
      <c r="AM339" s="198"/>
      <c r="AN339" s="198"/>
      <c r="AO339" s="198"/>
      <c r="AP339" s="198"/>
      <c r="AQ339" s="198"/>
      <c r="AR339" s="198"/>
      <c r="AS339" s="198"/>
      <c r="AT339" s="198"/>
      <c r="AU339" s="198"/>
      <c r="AV339" s="198"/>
      <c r="AW339" s="198"/>
    </row>
    <row r="340" spans="1:49" x14ac:dyDescent="0.25">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322"/>
      <c r="Y340" s="198"/>
      <c r="Z340" s="198"/>
      <c r="AA340" s="198"/>
      <c r="AB340" s="198"/>
      <c r="AC340" s="198"/>
      <c r="AD340" s="198"/>
      <c r="AE340" s="198"/>
      <c r="AF340" s="198"/>
      <c r="AG340" s="198"/>
      <c r="AH340" s="198"/>
      <c r="AI340" s="198"/>
      <c r="AJ340" s="198"/>
      <c r="AK340" s="198"/>
      <c r="AL340" s="198"/>
      <c r="AM340" s="198"/>
      <c r="AN340" s="198"/>
      <c r="AO340" s="198"/>
      <c r="AP340" s="198"/>
      <c r="AQ340" s="198"/>
      <c r="AR340" s="198"/>
      <c r="AS340" s="198"/>
      <c r="AT340" s="198"/>
      <c r="AU340" s="198"/>
      <c r="AV340" s="198"/>
      <c r="AW340" s="198"/>
    </row>
    <row r="341" spans="1:49" x14ac:dyDescent="0.25">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322"/>
      <c r="Y341" s="198"/>
      <c r="Z341" s="198"/>
      <c r="AA341" s="198"/>
      <c r="AB341" s="198"/>
      <c r="AC341" s="198"/>
      <c r="AD341" s="198"/>
      <c r="AE341" s="198"/>
      <c r="AF341" s="198"/>
      <c r="AG341" s="198"/>
      <c r="AH341" s="198"/>
      <c r="AI341" s="198"/>
      <c r="AJ341" s="198"/>
      <c r="AK341" s="198"/>
      <c r="AL341" s="198"/>
      <c r="AM341" s="198"/>
      <c r="AN341" s="198"/>
      <c r="AO341" s="198"/>
      <c r="AP341" s="198"/>
      <c r="AQ341" s="198"/>
      <c r="AR341" s="198"/>
      <c r="AS341" s="198"/>
      <c r="AT341" s="198"/>
      <c r="AU341" s="198"/>
      <c r="AV341" s="198"/>
      <c r="AW341" s="198"/>
    </row>
    <row r="342" spans="1:49" x14ac:dyDescent="0.25">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322"/>
      <c r="Y342" s="198"/>
      <c r="Z342" s="198"/>
      <c r="AA342" s="198"/>
      <c r="AB342" s="198"/>
      <c r="AC342" s="198"/>
      <c r="AD342" s="198"/>
      <c r="AE342" s="198"/>
      <c r="AF342" s="198"/>
      <c r="AG342" s="198"/>
      <c r="AH342" s="198"/>
      <c r="AI342" s="198"/>
      <c r="AJ342" s="198"/>
      <c r="AK342" s="198"/>
      <c r="AL342" s="198"/>
      <c r="AM342" s="198"/>
      <c r="AN342" s="198"/>
      <c r="AO342" s="198"/>
      <c r="AP342" s="198"/>
      <c r="AQ342" s="198"/>
      <c r="AR342" s="198"/>
      <c r="AS342" s="198"/>
      <c r="AT342" s="198"/>
      <c r="AU342" s="198"/>
      <c r="AV342" s="198"/>
      <c r="AW342" s="198"/>
    </row>
    <row r="343" spans="1:49" x14ac:dyDescent="0.25">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322"/>
      <c r="Y343" s="198"/>
      <c r="Z343" s="198"/>
      <c r="AA343" s="198"/>
      <c r="AB343" s="198"/>
      <c r="AC343" s="198"/>
      <c r="AD343" s="198"/>
      <c r="AE343" s="198"/>
      <c r="AF343" s="198"/>
      <c r="AG343" s="198"/>
      <c r="AH343" s="198"/>
      <c r="AI343" s="198"/>
      <c r="AJ343" s="198"/>
      <c r="AK343" s="198"/>
      <c r="AL343" s="198"/>
      <c r="AM343" s="198"/>
      <c r="AN343" s="198"/>
      <c r="AO343" s="198"/>
      <c r="AP343" s="198"/>
      <c r="AQ343" s="198"/>
      <c r="AR343" s="198"/>
      <c r="AS343" s="198"/>
      <c r="AT343" s="198"/>
      <c r="AU343" s="198"/>
      <c r="AV343" s="198"/>
      <c r="AW343" s="198"/>
    </row>
    <row r="344" spans="1:49" x14ac:dyDescent="0.25">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322"/>
      <c r="Y344" s="198"/>
      <c r="Z344" s="198"/>
      <c r="AA344" s="198"/>
      <c r="AB344" s="198"/>
      <c r="AC344" s="198"/>
      <c r="AD344" s="198"/>
      <c r="AE344" s="198"/>
      <c r="AF344" s="198"/>
      <c r="AG344" s="198"/>
      <c r="AH344" s="198"/>
      <c r="AI344" s="198"/>
      <c r="AJ344" s="198"/>
      <c r="AK344" s="198"/>
      <c r="AL344" s="198"/>
      <c r="AM344" s="198"/>
      <c r="AN344" s="198"/>
      <c r="AO344" s="198"/>
      <c r="AP344" s="198"/>
      <c r="AQ344" s="198"/>
      <c r="AR344" s="198"/>
      <c r="AS344" s="198"/>
      <c r="AT344" s="198"/>
      <c r="AU344" s="198"/>
      <c r="AV344" s="198"/>
      <c r="AW344" s="198"/>
    </row>
    <row r="345" spans="1:49" x14ac:dyDescent="0.25">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322"/>
      <c r="Y345" s="198"/>
      <c r="Z345" s="198"/>
      <c r="AA345" s="198"/>
      <c r="AB345" s="198"/>
      <c r="AC345" s="198"/>
      <c r="AD345" s="198"/>
      <c r="AE345" s="198"/>
      <c r="AF345" s="198"/>
      <c r="AG345" s="198"/>
      <c r="AH345" s="198"/>
      <c r="AI345" s="198"/>
      <c r="AJ345" s="198"/>
      <c r="AK345" s="198"/>
      <c r="AL345" s="198"/>
      <c r="AM345" s="198"/>
      <c r="AN345" s="198"/>
      <c r="AO345" s="198"/>
      <c r="AP345" s="198"/>
      <c r="AQ345" s="198"/>
      <c r="AR345" s="198"/>
      <c r="AS345" s="198"/>
      <c r="AT345" s="198"/>
      <c r="AU345" s="198"/>
      <c r="AV345" s="198"/>
      <c r="AW345" s="198"/>
    </row>
    <row r="346" spans="1:49" x14ac:dyDescent="0.25">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322"/>
      <c r="Y346" s="198"/>
      <c r="Z346" s="198"/>
      <c r="AA346" s="198"/>
      <c r="AB346" s="198"/>
      <c r="AC346" s="198"/>
      <c r="AD346" s="198"/>
      <c r="AE346" s="198"/>
      <c r="AF346" s="198"/>
      <c r="AG346" s="198"/>
      <c r="AH346" s="198"/>
      <c r="AI346" s="198"/>
      <c r="AJ346" s="198"/>
      <c r="AK346" s="198"/>
      <c r="AL346" s="198"/>
      <c r="AM346" s="198"/>
      <c r="AN346" s="198"/>
      <c r="AO346" s="198"/>
      <c r="AP346" s="198"/>
      <c r="AQ346" s="198"/>
      <c r="AR346" s="198"/>
      <c r="AS346" s="198"/>
      <c r="AT346" s="198"/>
      <c r="AU346" s="198"/>
      <c r="AV346" s="198"/>
      <c r="AW346" s="198"/>
    </row>
    <row r="347" spans="1:49" x14ac:dyDescent="0.25">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322"/>
      <c r="Y347" s="198"/>
      <c r="Z347" s="198"/>
      <c r="AA347" s="198"/>
      <c r="AB347" s="198"/>
      <c r="AC347" s="198"/>
      <c r="AD347" s="198"/>
      <c r="AE347" s="198"/>
      <c r="AF347" s="198"/>
      <c r="AG347" s="198"/>
      <c r="AH347" s="198"/>
      <c r="AI347" s="198"/>
      <c r="AJ347" s="198"/>
      <c r="AK347" s="198"/>
      <c r="AL347" s="198"/>
      <c r="AM347" s="198"/>
      <c r="AN347" s="198"/>
      <c r="AO347" s="198"/>
      <c r="AP347" s="198"/>
      <c r="AQ347" s="198"/>
      <c r="AR347" s="198"/>
      <c r="AS347" s="198"/>
      <c r="AT347" s="198"/>
      <c r="AU347" s="198"/>
      <c r="AV347" s="198"/>
      <c r="AW347" s="198"/>
    </row>
    <row r="348" spans="1:49" x14ac:dyDescent="0.25">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322"/>
      <c r="Y348" s="198"/>
      <c r="Z348" s="198"/>
      <c r="AA348" s="198"/>
      <c r="AB348" s="198"/>
      <c r="AC348" s="198"/>
      <c r="AD348" s="198"/>
      <c r="AE348" s="198"/>
      <c r="AF348" s="198"/>
      <c r="AG348" s="198"/>
      <c r="AH348" s="198"/>
      <c r="AI348" s="198"/>
      <c r="AJ348" s="198"/>
      <c r="AK348" s="198"/>
      <c r="AL348" s="198"/>
      <c r="AM348" s="198"/>
      <c r="AN348" s="198"/>
      <c r="AO348" s="198"/>
      <c r="AP348" s="198"/>
      <c r="AQ348" s="198"/>
      <c r="AR348" s="198"/>
      <c r="AS348" s="198"/>
      <c r="AT348" s="198"/>
      <c r="AU348" s="198"/>
      <c r="AV348" s="198"/>
      <c r="AW348" s="198"/>
    </row>
    <row r="349" spans="1:49" x14ac:dyDescent="0.25">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322"/>
      <c r="Y349" s="198"/>
      <c r="Z349" s="198"/>
      <c r="AA349" s="198"/>
      <c r="AB349" s="198"/>
      <c r="AC349" s="198"/>
      <c r="AD349" s="198"/>
      <c r="AE349" s="198"/>
      <c r="AF349" s="198"/>
      <c r="AG349" s="198"/>
      <c r="AH349" s="198"/>
      <c r="AI349" s="198"/>
      <c r="AJ349" s="198"/>
      <c r="AK349" s="198"/>
      <c r="AL349" s="198"/>
      <c r="AM349" s="198"/>
      <c r="AN349" s="198"/>
      <c r="AO349" s="198"/>
      <c r="AP349" s="198"/>
      <c r="AQ349" s="198"/>
      <c r="AR349" s="198"/>
      <c r="AS349" s="198"/>
      <c r="AT349" s="198"/>
      <c r="AU349" s="198"/>
      <c r="AV349" s="198"/>
      <c r="AW349" s="198"/>
    </row>
    <row r="350" spans="1:49" x14ac:dyDescent="0.25">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322"/>
      <c r="Y350" s="198"/>
      <c r="Z350" s="198"/>
      <c r="AA350" s="198"/>
      <c r="AB350" s="198"/>
      <c r="AC350" s="198"/>
      <c r="AD350" s="198"/>
      <c r="AE350" s="198"/>
      <c r="AF350" s="198"/>
      <c r="AG350" s="198"/>
      <c r="AH350" s="198"/>
      <c r="AI350" s="198"/>
      <c r="AJ350" s="198"/>
      <c r="AK350" s="198"/>
      <c r="AL350" s="198"/>
      <c r="AM350" s="198"/>
      <c r="AN350" s="198"/>
      <c r="AO350" s="198"/>
      <c r="AP350" s="198"/>
      <c r="AQ350" s="198"/>
      <c r="AR350" s="198"/>
      <c r="AS350" s="198"/>
      <c r="AT350" s="198"/>
      <c r="AU350" s="198"/>
      <c r="AV350" s="198"/>
      <c r="AW350" s="198"/>
    </row>
    <row r="351" spans="1:49" x14ac:dyDescent="0.25">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322"/>
      <c r="Y351" s="198"/>
      <c r="Z351" s="198"/>
      <c r="AA351" s="198"/>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row>
    <row r="352" spans="1:49" x14ac:dyDescent="0.25">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322"/>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row>
    <row r="353" spans="1:49" x14ac:dyDescent="0.25">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322"/>
      <c r="Y353" s="198"/>
      <c r="Z353" s="198"/>
      <c r="AA353" s="198"/>
      <c r="AB353" s="198"/>
      <c r="AC353" s="198"/>
      <c r="AD353" s="198"/>
      <c r="AE353" s="198"/>
      <c r="AF353" s="198"/>
      <c r="AG353" s="198"/>
      <c r="AH353" s="198"/>
      <c r="AI353" s="198"/>
      <c r="AJ353" s="198"/>
      <c r="AK353" s="198"/>
      <c r="AL353" s="198"/>
      <c r="AM353" s="198"/>
      <c r="AN353" s="198"/>
      <c r="AO353" s="198"/>
      <c r="AP353" s="198"/>
      <c r="AQ353" s="198"/>
      <c r="AR353" s="198"/>
      <c r="AS353" s="198"/>
      <c r="AT353" s="198"/>
      <c r="AU353" s="198"/>
      <c r="AV353" s="198"/>
      <c r="AW353" s="198"/>
    </row>
    <row r="354" spans="1:49" x14ac:dyDescent="0.25">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322"/>
      <c r="Y354" s="198"/>
      <c r="Z354" s="198"/>
      <c r="AA354" s="198"/>
      <c r="AB354" s="198"/>
      <c r="AC354" s="198"/>
      <c r="AD354" s="198"/>
      <c r="AE354" s="198"/>
      <c r="AF354" s="198"/>
      <c r="AG354" s="198"/>
      <c r="AH354" s="198"/>
      <c r="AI354" s="198"/>
      <c r="AJ354" s="198"/>
      <c r="AK354" s="198"/>
      <c r="AL354" s="198"/>
      <c r="AM354" s="198"/>
      <c r="AN354" s="198"/>
      <c r="AO354" s="198"/>
      <c r="AP354" s="198"/>
      <c r="AQ354" s="198"/>
      <c r="AR354" s="198"/>
      <c r="AS354" s="198"/>
      <c r="AT354" s="198"/>
      <c r="AU354" s="198"/>
      <c r="AV354" s="198"/>
      <c r="AW354" s="198"/>
    </row>
    <row r="355" spans="1:49" x14ac:dyDescent="0.25">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322"/>
      <c r="Y355" s="198"/>
      <c r="Z355" s="198"/>
      <c r="AA355" s="198"/>
      <c r="AB355" s="198"/>
      <c r="AC355" s="198"/>
      <c r="AD355" s="198"/>
      <c r="AE355" s="198"/>
      <c r="AF355" s="198"/>
      <c r="AG355" s="198"/>
      <c r="AH355" s="198"/>
      <c r="AI355" s="198"/>
      <c r="AJ355" s="198"/>
      <c r="AK355" s="198"/>
      <c r="AL355" s="198"/>
      <c r="AM355" s="198"/>
      <c r="AN355" s="198"/>
      <c r="AO355" s="198"/>
      <c r="AP355" s="198"/>
      <c r="AQ355" s="198"/>
      <c r="AR355" s="198"/>
      <c r="AS355" s="198"/>
      <c r="AT355" s="198"/>
      <c r="AU355" s="198"/>
      <c r="AV355" s="198"/>
      <c r="AW355" s="198"/>
    </row>
    <row r="356" spans="1:49" x14ac:dyDescent="0.25">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322"/>
      <c r="Y356" s="198"/>
      <c r="Z356" s="198"/>
      <c r="AA356" s="198"/>
      <c r="AB356" s="198"/>
      <c r="AC356" s="198"/>
      <c r="AD356" s="198"/>
      <c r="AE356" s="198"/>
      <c r="AF356" s="198"/>
      <c r="AG356" s="198"/>
      <c r="AH356" s="198"/>
      <c r="AI356" s="198"/>
      <c r="AJ356" s="198"/>
      <c r="AK356" s="198"/>
      <c r="AL356" s="198"/>
      <c r="AM356" s="198"/>
      <c r="AN356" s="198"/>
      <c r="AO356" s="198"/>
      <c r="AP356" s="198"/>
      <c r="AQ356" s="198"/>
      <c r="AR356" s="198"/>
      <c r="AS356" s="198"/>
      <c r="AT356" s="198"/>
      <c r="AU356" s="198"/>
      <c r="AV356" s="198"/>
      <c r="AW356" s="198"/>
    </row>
    <row r="357" spans="1:49" x14ac:dyDescent="0.25">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322"/>
      <c r="Y357" s="198"/>
      <c r="Z357" s="198"/>
      <c r="AA357" s="198"/>
      <c r="AB357" s="198"/>
      <c r="AC357" s="198"/>
      <c r="AD357" s="198"/>
      <c r="AE357" s="198"/>
      <c r="AF357" s="198"/>
      <c r="AG357" s="198"/>
      <c r="AH357" s="198"/>
      <c r="AI357" s="198"/>
      <c r="AJ357" s="198"/>
      <c r="AK357" s="198"/>
      <c r="AL357" s="198"/>
      <c r="AM357" s="198"/>
      <c r="AN357" s="198"/>
      <c r="AO357" s="198"/>
      <c r="AP357" s="198"/>
      <c r="AQ357" s="198"/>
      <c r="AR357" s="198"/>
      <c r="AS357" s="198"/>
      <c r="AT357" s="198"/>
      <c r="AU357" s="198"/>
      <c r="AV357" s="198"/>
      <c r="AW357" s="198"/>
    </row>
    <row r="358" spans="1:49" x14ac:dyDescent="0.25">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322"/>
      <c r="Y358" s="198"/>
      <c r="Z358" s="198"/>
      <c r="AA358" s="198"/>
      <c r="AB358" s="198"/>
      <c r="AC358" s="198"/>
      <c r="AD358" s="198"/>
      <c r="AE358" s="198"/>
      <c r="AF358" s="198"/>
      <c r="AG358" s="198"/>
      <c r="AH358" s="198"/>
      <c r="AI358" s="198"/>
      <c r="AJ358" s="198"/>
      <c r="AK358" s="198"/>
      <c r="AL358" s="198"/>
      <c r="AM358" s="198"/>
      <c r="AN358" s="198"/>
      <c r="AO358" s="198"/>
      <c r="AP358" s="198"/>
      <c r="AQ358" s="198"/>
      <c r="AR358" s="198"/>
      <c r="AS358" s="198"/>
      <c r="AT358" s="198"/>
      <c r="AU358" s="198"/>
      <c r="AV358" s="198"/>
      <c r="AW358" s="198"/>
    </row>
    <row r="359" spans="1:49" x14ac:dyDescent="0.25">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322"/>
      <c r="Y359" s="198"/>
      <c r="Z359" s="198"/>
      <c r="AA359" s="198"/>
      <c r="AB359" s="198"/>
      <c r="AC359" s="198"/>
      <c r="AD359" s="198"/>
      <c r="AE359" s="198"/>
      <c r="AF359" s="198"/>
      <c r="AG359" s="198"/>
      <c r="AH359" s="198"/>
      <c r="AI359" s="198"/>
      <c r="AJ359" s="198"/>
      <c r="AK359" s="198"/>
      <c r="AL359" s="198"/>
      <c r="AM359" s="198"/>
      <c r="AN359" s="198"/>
      <c r="AO359" s="198"/>
      <c r="AP359" s="198"/>
      <c r="AQ359" s="198"/>
      <c r="AR359" s="198"/>
      <c r="AS359" s="198"/>
      <c r="AT359" s="198"/>
      <c r="AU359" s="198"/>
      <c r="AV359" s="198"/>
      <c r="AW359" s="198"/>
    </row>
    <row r="360" spans="1:49" x14ac:dyDescent="0.25">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322"/>
      <c r="Y360" s="198"/>
      <c r="Z360" s="198"/>
      <c r="AA360" s="198"/>
      <c r="AB360" s="198"/>
      <c r="AC360" s="198"/>
      <c r="AD360" s="198"/>
      <c r="AE360" s="198"/>
      <c r="AF360" s="198"/>
      <c r="AG360" s="198"/>
      <c r="AH360" s="198"/>
      <c r="AI360" s="198"/>
      <c r="AJ360" s="198"/>
      <c r="AK360" s="198"/>
      <c r="AL360" s="198"/>
      <c r="AM360" s="198"/>
      <c r="AN360" s="198"/>
      <c r="AO360" s="198"/>
      <c r="AP360" s="198"/>
      <c r="AQ360" s="198"/>
      <c r="AR360" s="198"/>
      <c r="AS360" s="198"/>
      <c r="AT360" s="198"/>
      <c r="AU360" s="198"/>
      <c r="AV360" s="198"/>
      <c r="AW360" s="198"/>
    </row>
    <row r="361" spans="1:49" x14ac:dyDescent="0.25">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322"/>
      <c r="Y361" s="198"/>
      <c r="Z361" s="198"/>
      <c r="AA361" s="198"/>
      <c r="AB361" s="198"/>
      <c r="AC361" s="198"/>
      <c r="AD361" s="198"/>
      <c r="AE361" s="198"/>
      <c r="AF361" s="198"/>
      <c r="AG361" s="198"/>
      <c r="AH361" s="198"/>
      <c r="AI361" s="198"/>
      <c r="AJ361" s="198"/>
      <c r="AK361" s="198"/>
      <c r="AL361" s="198"/>
      <c r="AM361" s="198"/>
      <c r="AN361" s="198"/>
      <c r="AO361" s="198"/>
      <c r="AP361" s="198"/>
      <c r="AQ361" s="198"/>
      <c r="AR361" s="198"/>
      <c r="AS361" s="198"/>
      <c r="AT361" s="198"/>
      <c r="AU361" s="198"/>
      <c r="AV361" s="198"/>
      <c r="AW361" s="198"/>
    </row>
    <row r="362" spans="1:49" x14ac:dyDescent="0.25">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322"/>
      <c r="Y362" s="198"/>
      <c r="Z362" s="198"/>
      <c r="AA362" s="198"/>
      <c r="AB362" s="198"/>
      <c r="AC362" s="198"/>
      <c r="AD362" s="198"/>
      <c r="AE362" s="198"/>
      <c r="AF362" s="198"/>
      <c r="AG362" s="198"/>
      <c r="AH362" s="198"/>
      <c r="AI362" s="198"/>
      <c r="AJ362" s="198"/>
      <c r="AK362" s="198"/>
      <c r="AL362" s="198"/>
      <c r="AM362" s="198"/>
      <c r="AN362" s="198"/>
      <c r="AO362" s="198"/>
      <c r="AP362" s="198"/>
      <c r="AQ362" s="198"/>
      <c r="AR362" s="198"/>
      <c r="AS362" s="198"/>
      <c r="AT362" s="198"/>
      <c r="AU362" s="198"/>
      <c r="AV362" s="198"/>
      <c r="AW362" s="198"/>
    </row>
    <row r="363" spans="1:49" x14ac:dyDescent="0.25">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322"/>
      <c r="Y363" s="198"/>
      <c r="Z363" s="198"/>
      <c r="AA363" s="198"/>
      <c r="AB363" s="198"/>
      <c r="AC363" s="198"/>
      <c r="AD363" s="198"/>
      <c r="AE363" s="198"/>
      <c r="AF363" s="198"/>
      <c r="AG363" s="198"/>
      <c r="AH363" s="198"/>
      <c r="AI363" s="198"/>
      <c r="AJ363" s="198"/>
      <c r="AK363" s="198"/>
      <c r="AL363" s="198"/>
      <c r="AM363" s="198"/>
      <c r="AN363" s="198"/>
      <c r="AO363" s="198"/>
      <c r="AP363" s="198"/>
      <c r="AQ363" s="198"/>
      <c r="AR363" s="198"/>
      <c r="AS363" s="198"/>
      <c r="AT363" s="198"/>
      <c r="AU363" s="198"/>
      <c r="AV363" s="198"/>
      <c r="AW363" s="198"/>
    </row>
    <row r="364" spans="1:49" x14ac:dyDescent="0.25">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322"/>
      <c r="Y364" s="198"/>
      <c r="Z364" s="198"/>
      <c r="AA364" s="198"/>
      <c r="AB364" s="198"/>
      <c r="AC364" s="198"/>
      <c r="AD364" s="198"/>
      <c r="AE364" s="198"/>
      <c r="AF364" s="198"/>
      <c r="AG364" s="198"/>
      <c r="AH364" s="198"/>
      <c r="AI364" s="198"/>
      <c r="AJ364" s="198"/>
      <c r="AK364" s="198"/>
      <c r="AL364" s="198"/>
      <c r="AM364" s="198"/>
      <c r="AN364" s="198"/>
      <c r="AO364" s="198"/>
      <c r="AP364" s="198"/>
      <c r="AQ364" s="198"/>
      <c r="AR364" s="198"/>
      <c r="AS364" s="198"/>
      <c r="AT364" s="198"/>
      <c r="AU364" s="198"/>
      <c r="AV364" s="198"/>
      <c r="AW364" s="198"/>
    </row>
    <row r="365" spans="1:49" x14ac:dyDescent="0.25">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322"/>
      <c r="Y365" s="198"/>
      <c r="Z365" s="198"/>
      <c r="AA365" s="198"/>
      <c r="AB365" s="198"/>
      <c r="AC365" s="198"/>
      <c r="AD365" s="198"/>
      <c r="AE365" s="198"/>
      <c r="AF365" s="198"/>
      <c r="AG365" s="198"/>
      <c r="AH365" s="198"/>
      <c r="AI365" s="198"/>
      <c r="AJ365" s="198"/>
      <c r="AK365" s="198"/>
      <c r="AL365" s="198"/>
      <c r="AM365" s="198"/>
      <c r="AN365" s="198"/>
      <c r="AO365" s="198"/>
      <c r="AP365" s="198"/>
      <c r="AQ365" s="198"/>
      <c r="AR365" s="198"/>
      <c r="AS365" s="198"/>
      <c r="AT365" s="198"/>
      <c r="AU365" s="198"/>
      <c r="AV365" s="198"/>
      <c r="AW365" s="198"/>
    </row>
    <row r="366" spans="1:49" x14ac:dyDescent="0.25">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322"/>
      <c r="Y366" s="198"/>
      <c r="Z366" s="198"/>
      <c r="AA366" s="198"/>
      <c r="AB366" s="198"/>
      <c r="AC366" s="198"/>
      <c r="AD366" s="198"/>
      <c r="AE366" s="198"/>
      <c r="AF366" s="198"/>
      <c r="AG366" s="198"/>
      <c r="AH366" s="198"/>
      <c r="AI366" s="198"/>
      <c r="AJ366" s="198"/>
      <c r="AK366" s="198"/>
      <c r="AL366" s="198"/>
      <c r="AM366" s="198"/>
      <c r="AN366" s="198"/>
      <c r="AO366" s="198"/>
      <c r="AP366" s="198"/>
      <c r="AQ366" s="198"/>
      <c r="AR366" s="198"/>
      <c r="AS366" s="198"/>
      <c r="AT366" s="198"/>
      <c r="AU366" s="198"/>
      <c r="AV366" s="198"/>
      <c r="AW366" s="198"/>
    </row>
    <row r="367" spans="1:49" x14ac:dyDescent="0.25">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322"/>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row>
    <row r="368" spans="1:49" x14ac:dyDescent="0.25">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322"/>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row>
    <row r="369" spans="1:49" x14ac:dyDescent="0.25">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322"/>
      <c r="Y369" s="198"/>
      <c r="Z369" s="198"/>
      <c r="AA369" s="198"/>
      <c r="AB369" s="198"/>
      <c r="AC369" s="198"/>
      <c r="AD369" s="198"/>
      <c r="AE369" s="198"/>
      <c r="AF369" s="198"/>
      <c r="AG369" s="198"/>
      <c r="AH369" s="198"/>
      <c r="AI369" s="198"/>
      <c r="AJ369" s="198"/>
      <c r="AK369" s="198"/>
      <c r="AL369" s="198"/>
      <c r="AM369" s="198"/>
      <c r="AN369" s="198"/>
      <c r="AO369" s="198"/>
      <c r="AP369" s="198"/>
      <c r="AQ369" s="198"/>
      <c r="AR369" s="198"/>
      <c r="AS369" s="198"/>
      <c r="AT369" s="198"/>
      <c r="AU369" s="198"/>
      <c r="AV369" s="198"/>
      <c r="AW369" s="198"/>
    </row>
    <row r="370" spans="1:49" x14ac:dyDescent="0.25">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322"/>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row>
    <row r="371" spans="1:49" x14ac:dyDescent="0.25">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322"/>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row>
    <row r="372" spans="1:49" x14ac:dyDescent="0.25">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322"/>
      <c r="Y372" s="198"/>
      <c r="Z372" s="198"/>
      <c r="AA372" s="198"/>
      <c r="AB372" s="198"/>
      <c r="AC372" s="198"/>
      <c r="AD372" s="198"/>
      <c r="AE372" s="198"/>
      <c r="AF372" s="198"/>
      <c r="AG372" s="198"/>
      <c r="AH372" s="198"/>
      <c r="AI372" s="198"/>
      <c r="AJ372" s="198"/>
      <c r="AK372" s="198"/>
      <c r="AL372" s="198"/>
      <c r="AM372" s="198"/>
      <c r="AN372" s="198"/>
      <c r="AO372" s="198"/>
      <c r="AP372" s="198"/>
      <c r="AQ372" s="198"/>
      <c r="AR372" s="198"/>
      <c r="AS372" s="198"/>
      <c r="AT372" s="198"/>
      <c r="AU372" s="198"/>
      <c r="AV372" s="198"/>
      <c r="AW372" s="198"/>
    </row>
    <row r="373" spans="1:49" x14ac:dyDescent="0.25">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322"/>
      <c r="Y373" s="198"/>
      <c r="Z373" s="198"/>
      <c r="AA373" s="198"/>
      <c r="AB373" s="198"/>
      <c r="AC373" s="198"/>
      <c r="AD373" s="198"/>
      <c r="AE373" s="198"/>
      <c r="AF373" s="198"/>
      <c r="AG373" s="198"/>
      <c r="AH373" s="198"/>
      <c r="AI373" s="198"/>
      <c r="AJ373" s="198"/>
      <c r="AK373" s="198"/>
      <c r="AL373" s="198"/>
      <c r="AM373" s="198"/>
      <c r="AN373" s="198"/>
      <c r="AO373" s="198"/>
      <c r="AP373" s="198"/>
      <c r="AQ373" s="198"/>
      <c r="AR373" s="198"/>
      <c r="AS373" s="198"/>
      <c r="AT373" s="198"/>
      <c r="AU373" s="198"/>
      <c r="AV373" s="198"/>
      <c r="AW373" s="198"/>
    </row>
    <row r="374" spans="1:49" x14ac:dyDescent="0.25">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322"/>
      <c r="Y374" s="198"/>
      <c r="Z374" s="198"/>
      <c r="AA374" s="198"/>
      <c r="AB374" s="198"/>
      <c r="AC374" s="198"/>
      <c r="AD374" s="198"/>
      <c r="AE374" s="198"/>
      <c r="AF374" s="198"/>
      <c r="AG374" s="198"/>
      <c r="AH374" s="198"/>
      <c r="AI374" s="198"/>
      <c r="AJ374" s="198"/>
      <c r="AK374" s="198"/>
      <c r="AL374" s="198"/>
      <c r="AM374" s="198"/>
      <c r="AN374" s="198"/>
      <c r="AO374" s="198"/>
      <c r="AP374" s="198"/>
      <c r="AQ374" s="198"/>
      <c r="AR374" s="198"/>
      <c r="AS374" s="198"/>
      <c r="AT374" s="198"/>
      <c r="AU374" s="198"/>
      <c r="AV374" s="198"/>
      <c r="AW374" s="198"/>
    </row>
    <row r="375" spans="1:49" x14ac:dyDescent="0.25">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322"/>
      <c r="Y375" s="198"/>
      <c r="Z375" s="198"/>
      <c r="AA375" s="198"/>
      <c r="AB375" s="198"/>
      <c r="AC375" s="198"/>
      <c r="AD375" s="198"/>
      <c r="AE375" s="198"/>
      <c r="AF375" s="198"/>
      <c r="AG375" s="198"/>
      <c r="AH375" s="198"/>
      <c r="AI375" s="198"/>
      <c r="AJ375" s="198"/>
      <c r="AK375" s="198"/>
      <c r="AL375" s="198"/>
      <c r="AM375" s="198"/>
      <c r="AN375" s="198"/>
      <c r="AO375" s="198"/>
      <c r="AP375" s="198"/>
      <c r="AQ375" s="198"/>
      <c r="AR375" s="198"/>
      <c r="AS375" s="198"/>
      <c r="AT375" s="198"/>
      <c r="AU375" s="198"/>
      <c r="AV375" s="198"/>
      <c r="AW375" s="198"/>
    </row>
    <row r="376" spans="1:49" x14ac:dyDescent="0.25">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322"/>
      <c r="Y376" s="198"/>
      <c r="Z376" s="198"/>
      <c r="AA376" s="198"/>
      <c r="AB376" s="198"/>
      <c r="AC376" s="198"/>
      <c r="AD376" s="198"/>
      <c r="AE376" s="198"/>
      <c r="AF376" s="198"/>
      <c r="AG376" s="198"/>
      <c r="AH376" s="198"/>
      <c r="AI376" s="198"/>
      <c r="AJ376" s="198"/>
      <c r="AK376" s="198"/>
      <c r="AL376" s="198"/>
      <c r="AM376" s="198"/>
      <c r="AN376" s="198"/>
      <c r="AO376" s="198"/>
      <c r="AP376" s="198"/>
      <c r="AQ376" s="198"/>
      <c r="AR376" s="198"/>
      <c r="AS376" s="198"/>
      <c r="AT376" s="198"/>
      <c r="AU376" s="198"/>
      <c r="AV376" s="198"/>
      <c r="AW376" s="198"/>
    </row>
    <row r="377" spans="1:49" x14ac:dyDescent="0.25">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322"/>
      <c r="Y377" s="198"/>
      <c r="Z377" s="198"/>
      <c r="AA377" s="198"/>
      <c r="AB377" s="198"/>
      <c r="AC377" s="198"/>
      <c r="AD377" s="198"/>
      <c r="AE377" s="198"/>
      <c r="AF377" s="198"/>
      <c r="AG377" s="198"/>
      <c r="AH377" s="198"/>
      <c r="AI377" s="198"/>
      <c r="AJ377" s="198"/>
      <c r="AK377" s="198"/>
      <c r="AL377" s="198"/>
      <c r="AM377" s="198"/>
      <c r="AN377" s="198"/>
      <c r="AO377" s="198"/>
      <c r="AP377" s="198"/>
      <c r="AQ377" s="198"/>
      <c r="AR377" s="198"/>
      <c r="AS377" s="198"/>
      <c r="AT377" s="198"/>
      <c r="AU377" s="198"/>
      <c r="AV377" s="198"/>
      <c r="AW377" s="198"/>
    </row>
    <row r="378" spans="1:49" x14ac:dyDescent="0.25">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322"/>
      <c r="Y378" s="198"/>
      <c r="Z378" s="198"/>
      <c r="AA378" s="198"/>
      <c r="AB378" s="198"/>
      <c r="AC378" s="198"/>
      <c r="AD378" s="198"/>
      <c r="AE378" s="198"/>
      <c r="AF378" s="198"/>
      <c r="AG378" s="198"/>
      <c r="AH378" s="198"/>
      <c r="AI378" s="198"/>
      <c r="AJ378" s="198"/>
      <c r="AK378" s="198"/>
      <c r="AL378" s="198"/>
      <c r="AM378" s="198"/>
      <c r="AN378" s="198"/>
      <c r="AO378" s="198"/>
      <c r="AP378" s="198"/>
      <c r="AQ378" s="198"/>
      <c r="AR378" s="198"/>
      <c r="AS378" s="198"/>
      <c r="AT378" s="198"/>
      <c r="AU378" s="198"/>
      <c r="AV378" s="198"/>
      <c r="AW378" s="198"/>
    </row>
    <row r="379" spans="1:49" x14ac:dyDescent="0.25">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322"/>
      <c r="Y379" s="198"/>
      <c r="Z379" s="198"/>
      <c r="AA379" s="198"/>
      <c r="AB379" s="198"/>
      <c r="AC379" s="198"/>
      <c r="AD379" s="198"/>
      <c r="AE379" s="198"/>
      <c r="AF379" s="198"/>
      <c r="AG379" s="198"/>
      <c r="AH379" s="198"/>
      <c r="AI379" s="198"/>
      <c r="AJ379" s="198"/>
      <c r="AK379" s="198"/>
      <c r="AL379" s="198"/>
      <c r="AM379" s="198"/>
      <c r="AN379" s="198"/>
      <c r="AO379" s="198"/>
      <c r="AP379" s="198"/>
      <c r="AQ379" s="198"/>
      <c r="AR379" s="198"/>
      <c r="AS379" s="198"/>
      <c r="AT379" s="198"/>
      <c r="AU379" s="198"/>
      <c r="AV379" s="198"/>
      <c r="AW379" s="198"/>
    </row>
    <row r="380" spans="1:49" x14ac:dyDescent="0.25">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322"/>
      <c r="Y380" s="198"/>
      <c r="Z380" s="198"/>
      <c r="AA380" s="198"/>
      <c r="AB380" s="198"/>
      <c r="AC380" s="198"/>
      <c r="AD380" s="198"/>
      <c r="AE380" s="198"/>
      <c r="AF380" s="198"/>
      <c r="AG380" s="198"/>
      <c r="AH380" s="198"/>
      <c r="AI380" s="198"/>
      <c r="AJ380" s="198"/>
      <c r="AK380" s="198"/>
      <c r="AL380" s="198"/>
      <c r="AM380" s="198"/>
      <c r="AN380" s="198"/>
      <c r="AO380" s="198"/>
      <c r="AP380" s="198"/>
      <c r="AQ380" s="198"/>
      <c r="AR380" s="198"/>
      <c r="AS380" s="198"/>
      <c r="AT380" s="198"/>
      <c r="AU380" s="198"/>
      <c r="AV380" s="198"/>
      <c r="AW380" s="198"/>
    </row>
    <row r="381" spans="1:49" x14ac:dyDescent="0.25">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322"/>
      <c r="Y381" s="198"/>
      <c r="Z381" s="198"/>
      <c r="AA381" s="198"/>
      <c r="AB381" s="198"/>
      <c r="AC381" s="198"/>
      <c r="AD381" s="198"/>
      <c r="AE381" s="198"/>
      <c r="AF381" s="198"/>
      <c r="AG381" s="198"/>
      <c r="AH381" s="198"/>
      <c r="AI381" s="198"/>
      <c r="AJ381" s="198"/>
      <c r="AK381" s="198"/>
      <c r="AL381" s="198"/>
      <c r="AM381" s="198"/>
      <c r="AN381" s="198"/>
      <c r="AO381" s="198"/>
      <c r="AP381" s="198"/>
      <c r="AQ381" s="198"/>
      <c r="AR381" s="198"/>
      <c r="AS381" s="198"/>
      <c r="AT381" s="198"/>
      <c r="AU381" s="198"/>
      <c r="AV381" s="198"/>
      <c r="AW381" s="198"/>
    </row>
    <row r="382" spans="1:49" x14ac:dyDescent="0.25">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322"/>
      <c r="Y382" s="198"/>
      <c r="Z382" s="198"/>
      <c r="AA382" s="198"/>
      <c r="AB382" s="198"/>
      <c r="AC382" s="198"/>
      <c r="AD382" s="198"/>
      <c r="AE382" s="198"/>
      <c r="AF382" s="198"/>
      <c r="AG382" s="198"/>
      <c r="AH382" s="198"/>
      <c r="AI382" s="198"/>
      <c r="AJ382" s="198"/>
      <c r="AK382" s="198"/>
      <c r="AL382" s="198"/>
      <c r="AM382" s="198"/>
      <c r="AN382" s="198"/>
      <c r="AO382" s="198"/>
      <c r="AP382" s="198"/>
      <c r="AQ382" s="198"/>
      <c r="AR382" s="198"/>
      <c r="AS382" s="198"/>
      <c r="AT382" s="198"/>
      <c r="AU382" s="198"/>
      <c r="AV382" s="198"/>
      <c r="AW382" s="198"/>
    </row>
    <row r="383" spans="1:49" x14ac:dyDescent="0.25">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322"/>
      <c r="Y383" s="198"/>
      <c r="Z383" s="198"/>
      <c r="AA383" s="198"/>
      <c r="AB383" s="198"/>
      <c r="AC383" s="198"/>
      <c r="AD383" s="198"/>
      <c r="AE383" s="198"/>
      <c r="AF383" s="198"/>
      <c r="AG383" s="198"/>
      <c r="AH383" s="198"/>
      <c r="AI383" s="198"/>
      <c r="AJ383" s="198"/>
      <c r="AK383" s="198"/>
      <c r="AL383" s="198"/>
      <c r="AM383" s="198"/>
      <c r="AN383" s="198"/>
      <c r="AO383" s="198"/>
      <c r="AP383" s="198"/>
      <c r="AQ383" s="198"/>
      <c r="AR383" s="198"/>
      <c r="AS383" s="198"/>
      <c r="AT383" s="198"/>
      <c r="AU383" s="198"/>
      <c r="AV383" s="198"/>
      <c r="AW383" s="198"/>
    </row>
    <row r="384" spans="1:49" x14ac:dyDescent="0.25">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322"/>
      <c r="Y384" s="198"/>
      <c r="Z384" s="198"/>
      <c r="AA384" s="198"/>
      <c r="AB384" s="198"/>
      <c r="AC384" s="198"/>
      <c r="AD384" s="198"/>
      <c r="AE384" s="198"/>
      <c r="AF384" s="198"/>
      <c r="AG384" s="198"/>
      <c r="AH384" s="198"/>
      <c r="AI384" s="198"/>
      <c r="AJ384" s="198"/>
      <c r="AK384" s="198"/>
      <c r="AL384" s="198"/>
      <c r="AM384" s="198"/>
      <c r="AN384" s="198"/>
      <c r="AO384" s="198"/>
      <c r="AP384" s="198"/>
      <c r="AQ384" s="198"/>
      <c r="AR384" s="198"/>
      <c r="AS384" s="198"/>
      <c r="AT384" s="198"/>
      <c r="AU384" s="198"/>
      <c r="AV384" s="198"/>
      <c r="AW384" s="198"/>
    </row>
    <row r="385" spans="1:49" x14ac:dyDescent="0.25">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322"/>
      <c r="Y385" s="198"/>
      <c r="Z385" s="198"/>
      <c r="AA385" s="198"/>
      <c r="AB385" s="198"/>
      <c r="AC385" s="198"/>
      <c r="AD385" s="198"/>
      <c r="AE385" s="198"/>
      <c r="AF385" s="198"/>
      <c r="AG385" s="198"/>
      <c r="AH385" s="198"/>
      <c r="AI385" s="198"/>
      <c r="AJ385" s="198"/>
      <c r="AK385" s="198"/>
      <c r="AL385" s="198"/>
      <c r="AM385" s="198"/>
      <c r="AN385" s="198"/>
      <c r="AO385" s="198"/>
      <c r="AP385" s="198"/>
      <c r="AQ385" s="198"/>
      <c r="AR385" s="198"/>
      <c r="AS385" s="198"/>
      <c r="AT385" s="198"/>
      <c r="AU385" s="198"/>
      <c r="AV385" s="198"/>
      <c r="AW385" s="198"/>
    </row>
    <row r="386" spans="1:49" x14ac:dyDescent="0.25">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322"/>
      <c r="Y386" s="198"/>
      <c r="Z386" s="198"/>
      <c r="AA386" s="198"/>
      <c r="AB386" s="198"/>
      <c r="AC386" s="198"/>
      <c r="AD386" s="198"/>
      <c r="AE386" s="198"/>
      <c r="AF386" s="198"/>
      <c r="AG386" s="198"/>
      <c r="AH386" s="198"/>
      <c r="AI386" s="198"/>
      <c r="AJ386" s="198"/>
      <c r="AK386" s="198"/>
      <c r="AL386" s="198"/>
      <c r="AM386" s="198"/>
      <c r="AN386" s="198"/>
      <c r="AO386" s="198"/>
      <c r="AP386" s="198"/>
      <c r="AQ386" s="198"/>
      <c r="AR386" s="198"/>
      <c r="AS386" s="198"/>
      <c r="AT386" s="198"/>
      <c r="AU386" s="198"/>
      <c r="AV386" s="198"/>
      <c r="AW386" s="198"/>
    </row>
    <row r="387" spans="1:49" x14ac:dyDescent="0.25">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322"/>
      <c r="Y387" s="198"/>
      <c r="Z387" s="198"/>
      <c r="AA387" s="198"/>
      <c r="AB387" s="198"/>
      <c r="AC387" s="198"/>
      <c r="AD387" s="198"/>
      <c r="AE387" s="198"/>
      <c r="AF387" s="198"/>
      <c r="AG387" s="198"/>
      <c r="AH387" s="198"/>
      <c r="AI387" s="198"/>
      <c r="AJ387" s="198"/>
      <c r="AK387" s="198"/>
      <c r="AL387" s="198"/>
      <c r="AM387" s="198"/>
      <c r="AN387" s="198"/>
      <c r="AO387" s="198"/>
      <c r="AP387" s="198"/>
      <c r="AQ387" s="198"/>
      <c r="AR387" s="198"/>
      <c r="AS387" s="198"/>
      <c r="AT387" s="198"/>
      <c r="AU387" s="198"/>
      <c r="AV387" s="198"/>
      <c r="AW387" s="198"/>
    </row>
    <row r="388" spans="1:49" x14ac:dyDescent="0.25">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322"/>
      <c r="Y388" s="198"/>
      <c r="Z388" s="198"/>
      <c r="AA388" s="198"/>
      <c r="AB388" s="198"/>
      <c r="AC388" s="198"/>
      <c r="AD388" s="198"/>
      <c r="AE388" s="198"/>
      <c r="AF388" s="198"/>
      <c r="AG388" s="198"/>
      <c r="AH388" s="198"/>
      <c r="AI388" s="198"/>
      <c r="AJ388" s="198"/>
      <c r="AK388" s="198"/>
      <c r="AL388" s="198"/>
      <c r="AM388" s="198"/>
      <c r="AN388" s="198"/>
      <c r="AO388" s="198"/>
      <c r="AP388" s="198"/>
      <c r="AQ388" s="198"/>
      <c r="AR388" s="198"/>
      <c r="AS388" s="198"/>
      <c r="AT388" s="198"/>
      <c r="AU388" s="198"/>
      <c r="AV388" s="198"/>
      <c r="AW388" s="198"/>
    </row>
    <row r="389" spans="1:49" x14ac:dyDescent="0.25">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322"/>
      <c r="Y389" s="198"/>
      <c r="Z389" s="198"/>
      <c r="AA389" s="198"/>
      <c r="AB389" s="198"/>
      <c r="AC389" s="198"/>
      <c r="AD389" s="198"/>
      <c r="AE389" s="198"/>
      <c r="AF389" s="198"/>
      <c r="AG389" s="198"/>
      <c r="AH389" s="198"/>
      <c r="AI389" s="198"/>
      <c r="AJ389" s="198"/>
      <c r="AK389" s="198"/>
      <c r="AL389" s="198"/>
      <c r="AM389" s="198"/>
      <c r="AN389" s="198"/>
      <c r="AO389" s="198"/>
      <c r="AP389" s="198"/>
      <c r="AQ389" s="198"/>
      <c r="AR389" s="198"/>
      <c r="AS389" s="198"/>
      <c r="AT389" s="198"/>
      <c r="AU389" s="198"/>
      <c r="AV389" s="198"/>
      <c r="AW389" s="198"/>
    </row>
    <row r="390" spans="1:49" x14ac:dyDescent="0.25">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322"/>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row>
    <row r="391" spans="1:49" x14ac:dyDescent="0.25">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322"/>
      <c r="Y391" s="198"/>
      <c r="Z391" s="198"/>
      <c r="AA391" s="198"/>
      <c r="AB391" s="198"/>
      <c r="AC391" s="198"/>
      <c r="AD391" s="198"/>
      <c r="AE391" s="198"/>
      <c r="AF391" s="198"/>
      <c r="AG391" s="198"/>
      <c r="AH391" s="198"/>
      <c r="AI391" s="198"/>
      <c r="AJ391" s="198"/>
      <c r="AK391" s="198"/>
      <c r="AL391" s="198"/>
      <c r="AM391" s="198"/>
      <c r="AN391" s="198"/>
      <c r="AO391" s="198"/>
      <c r="AP391" s="198"/>
      <c r="AQ391" s="198"/>
      <c r="AR391" s="198"/>
      <c r="AS391" s="198"/>
      <c r="AT391" s="198"/>
      <c r="AU391" s="198"/>
      <c r="AV391" s="198"/>
      <c r="AW391" s="198"/>
    </row>
    <row r="392" spans="1:49" x14ac:dyDescent="0.25">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322"/>
      <c r="Y392" s="198"/>
      <c r="Z392" s="198"/>
      <c r="AA392" s="198"/>
      <c r="AB392" s="198"/>
      <c r="AC392" s="198"/>
      <c r="AD392" s="198"/>
      <c r="AE392" s="198"/>
      <c r="AF392" s="198"/>
      <c r="AG392" s="198"/>
      <c r="AH392" s="198"/>
      <c r="AI392" s="198"/>
      <c r="AJ392" s="198"/>
      <c r="AK392" s="198"/>
      <c r="AL392" s="198"/>
      <c r="AM392" s="198"/>
      <c r="AN392" s="198"/>
      <c r="AO392" s="198"/>
      <c r="AP392" s="198"/>
      <c r="AQ392" s="198"/>
      <c r="AR392" s="198"/>
      <c r="AS392" s="198"/>
      <c r="AT392" s="198"/>
      <c r="AU392" s="198"/>
      <c r="AV392" s="198"/>
      <c r="AW392" s="198"/>
    </row>
    <row r="393" spans="1:49" x14ac:dyDescent="0.25">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322"/>
      <c r="Y393" s="198"/>
      <c r="Z393" s="198"/>
      <c r="AA393" s="198"/>
      <c r="AB393" s="198"/>
      <c r="AC393" s="198"/>
      <c r="AD393" s="198"/>
      <c r="AE393" s="198"/>
      <c r="AF393" s="198"/>
      <c r="AG393" s="198"/>
      <c r="AH393" s="198"/>
      <c r="AI393" s="198"/>
      <c r="AJ393" s="198"/>
      <c r="AK393" s="198"/>
      <c r="AL393" s="198"/>
      <c r="AM393" s="198"/>
      <c r="AN393" s="198"/>
      <c r="AO393" s="198"/>
      <c r="AP393" s="198"/>
      <c r="AQ393" s="198"/>
      <c r="AR393" s="198"/>
      <c r="AS393" s="198"/>
      <c r="AT393" s="198"/>
      <c r="AU393" s="198"/>
      <c r="AV393" s="198"/>
      <c r="AW393" s="198"/>
    </row>
    <row r="394" spans="1:49" x14ac:dyDescent="0.25">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322"/>
      <c r="Y394" s="198"/>
      <c r="Z394" s="198"/>
      <c r="AA394" s="198"/>
      <c r="AB394" s="198"/>
      <c r="AC394" s="198"/>
      <c r="AD394" s="198"/>
      <c r="AE394" s="198"/>
      <c r="AF394" s="198"/>
      <c r="AG394" s="198"/>
      <c r="AH394" s="198"/>
      <c r="AI394" s="198"/>
      <c r="AJ394" s="198"/>
      <c r="AK394" s="198"/>
      <c r="AL394" s="198"/>
      <c r="AM394" s="198"/>
      <c r="AN394" s="198"/>
      <c r="AO394" s="198"/>
      <c r="AP394" s="198"/>
      <c r="AQ394" s="198"/>
      <c r="AR394" s="198"/>
      <c r="AS394" s="198"/>
      <c r="AT394" s="198"/>
      <c r="AU394" s="198"/>
      <c r="AV394" s="198"/>
      <c r="AW394" s="198"/>
    </row>
    <row r="395" spans="1:49" x14ac:dyDescent="0.25">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322"/>
      <c r="Y395" s="198"/>
      <c r="Z395" s="198"/>
      <c r="AA395" s="198"/>
      <c r="AB395" s="198"/>
      <c r="AC395" s="198"/>
      <c r="AD395" s="198"/>
      <c r="AE395" s="198"/>
      <c r="AF395" s="198"/>
      <c r="AG395" s="198"/>
      <c r="AH395" s="198"/>
      <c r="AI395" s="198"/>
      <c r="AJ395" s="198"/>
      <c r="AK395" s="198"/>
      <c r="AL395" s="198"/>
      <c r="AM395" s="198"/>
      <c r="AN395" s="198"/>
      <c r="AO395" s="198"/>
      <c r="AP395" s="198"/>
      <c r="AQ395" s="198"/>
      <c r="AR395" s="198"/>
      <c r="AS395" s="198"/>
      <c r="AT395" s="198"/>
      <c r="AU395" s="198"/>
      <c r="AV395" s="198"/>
      <c r="AW395" s="198"/>
    </row>
    <row r="396" spans="1:49" x14ac:dyDescent="0.25">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322"/>
      <c r="Y396" s="198"/>
      <c r="Z396" s="198"/>
      <c r="AA396" s="198"/>
      <c r="AB396" s="198"/>
      <c r="AC396" s="198"/>
      <c r="AD396" s="198"/>
      <c r="AE396" s="198"/>
      <c r="AF396" s="198"/>
      <c r="AG396" s="198"/>
      <c r="AH396" s="198"/>
      <c r="AI396" s="198"/>
      <c r="AJ396" s="198"/>
      <c r="AK396" s="198"/>
      <c r="AL396" s="198"/>
      <c r="AM396" s="198"/>
      <c r="AN396" s="198"/>
      <c r="AO396" s="198"/>
      <c r="AP396" s="198"/>
      <c r="AQ396" s="198"/>
      <c r="AR396" s="198"/>
      <c r="AS396" s="198"/>
      <c r="AT396" s="198"/>
      <c r="AU396" s="198"/>
      <c r="AV396" s="198"/>
      <c r="AW396" s="198"/>
    </row>
    <row r="397" spans="1:49" x14ac:dyDescent="0.25">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322"/>
      <c r="Y397" s="198"/>
      <c r="Z397" s="198"/>
      <c r="AA397" s="198"/>
      <c r="AB397" s="198"/>
      <c r="AC397" s="198"/>
      <c r="AD397" s="198"/>
      <c r="AE397" s="198"/>
      <c r="AF397" s="198"/>
      <c r="AG397" s="198"/>
      <c r="AH397" s="198"/>
      <c r="AI397" s="198"/>
      <c r="AJ397" s="198"/>
      <c r="AK397" s="198"/>
      <c r="AL397" s="198"/>
      <c r="AM397" s="198"/>
      <c r="AN397" s="198"/>
      <c r="AO397" s="198"/>
      <c r="AP397" s="198"/>
      <c r="AQ397" s="198"/>
      <c r="AR397" s="198"/>
      <c r="AS397" s="198"/>
      <c r="AT397" s="198"/>
      <c r="AU397" s="198"/>
      <c r="AV397" s="198"/>
      <c r="AW397" s="198"/>
    </row>
    <row r="398" spans="1:49" x14ac:dyDescent="0.25">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322"/>
      <c r="Y398" s="198"/>
      <c r="Z398" s="198"/>
      <c r="AA398" s="198"/>
      <c r="AB398" s="198"/>
      <c r="AC398" s="198"/>
      <c r="AD398" s="198"/>
      <c r="AE398" s="198"/>
      <c r="AF398" s="198"/>
      <c r="AG398" s="198"/>
      <c r="AH398" s="198"/>
      <c r="AI398" s="198"/>
      <c r="AJ398" s="198"/>
      <c r="AK398" s="198"/>
      <c r="AL398" s="198"/>
      <c r="AM398" s="198"/>
      <c r="AN398" s="198"/>
      <c r="AO398" s="198"/>
      <c r="AP398" s="198"/>
      <c r="AQ398" s="198"/>
      <c r="AR398" s="198"/>
      <c r="AS398" s="198"/>
      <c r="AT398" s="198"/>
      <c r="AU398" s="198"/>
      <c r="AV398" s="198"/>
      <c r="AW398" s="198"/>
    </row>
    <row r="399" spans="1:49" x14ac:dyDescent="0.25">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322"/>
      <c r="Y399" s="198"/>
      <c r="Z399" s="198"/>
      <c r="AA399" s="198"/>
      <c r="AB399" s="198"/>
      <c r="AC399" s="198"/>
      <c r="AD399" s="198"/>
      <c r="AE399" s="198"/>
      <c r="AF399" s="198"/>
      <c r="AG399" s="198"/>
      <c r="AH399" s="198"/>
      <c r="AI399" s="198"/>
      <c r="AJ399" s="198"/>
      <c r="AK399" s="198"/>
      <c r="AL399" s="198"/>
      <c r="AM399" s="198"/>
      <c r="AN399" s="198"/>
      <c r="AO399" s="198"/>
      <c r="AP399" s="198"/>
      <c r="AQ399" s="198"/>
      <c r="AR399" s="198"/>
      <c r="AS399" s="198"/>
      <c r="AT399" s="198"/>
      <c r="AU399" s="198"/>
      <c r="AV399" s="198"/>
      <c r="AW399" s="198"/>
    </row>
    <row r="400" spans="1:49" x14ac:dyDescent="0.25">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322"/>
      <c r="Y400" s="198"/>
      <c r="Z400" s="198"/>
      <c r="AA400" s="198"/>
      <c r="AB400" s="198"/>
      <c r="AC400" s="198"/>
      <c r="AD400" s="198"/>
      <c r="AE400" s="198"/>
      <c r="AF400" s="198"/>
      <c r="AG400" s="198"/>
      <c r="AH400" s="198"/>
      <c r="AI400" s="198"/>
      <c r="AJ400" s="198"/>
      <c r="AK400" s="198"/>
      <c r="AL400" s="198"/>
      <c r="AM400" s="198"/>
      <c r="AN400" s="198"/>
      <c r="AO400" s="198"/>
      <c r="AP400" s="198"/>
      <c r="AQ400" s="198"/>
      <c r="AR400" s="198"/>
      <c r="AS400" s="198"/>
      <c r="AT400" s="198"/>
      <c r="AU400" s="198"/>
      <c r="AV400" s="198"/>
      <c r="AW400" s="198"/>
    </row>
    <row r="401" spans="1:49" x14ac:dyDescent="0.25">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322"/>
      <c r="Y401" s="198"/>
      <c r="Z401" s="198"/>
      <c r="AA401" s="198"/>
      <c r="AB401" s="198"/>
      <c r="AC401" s="198"/>
      <c r="AD401" s="198"/>
      <c r="AE401" s="198"/>
      <c r="AF401" s="198"/>
      <c r="AG401" s="198"/>
      <c r="AH401" s="198"/>
      <c r="AI401" s="198"/>
      <c r="AJ401" s="198"/>
      <c r="AK401" s="198"/>
      <c r="AL401" s="198"/>
      <c r="AM401" s="198"/>
      <c r="AN401" s="198"/>
      <c r="AO401" s="198"/>
      <c r="AP401" s="198"/>
      <c r="AQ401" s="198"/>
      <c r="AR401" s="198"/>
      <c r="AS401" s="198"/>
      <c r="AT401" s="198"/>
      <c r="AU401" s="198"/>
      <c r="AV401" s="198"/>
      <c r="AW401" s="198"/>
    </row>
    <row r="402" spans="1:49" x14ac:dyDescent="0.25">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322"/>
      <c r="Y402" s="198"/>
      <c r="Z402" s="198"/>
      <c r="AA402" s="198"/>
      <c r="AB402" s="198"/>
      <c r="AC402" s="198"/>
      <c r="AD402" s="198"/>
      <c r="AE402" s="198"/>
      <c r="AF402" s="198"/>
      <c r="AG402" s="198"/>
      <c r="AH402" s="198"/>
      <c r="AI402" s="198"/>
      <c r="AJ402" s="198"/>
      <c r="AK402" s="198"/>
      <c r="AL402" s="198"/>
      <c r="AM402" s="198"/>
      <c r="AN402" s="198"/>
      <c r="AO402" s="198"/>
      <c r="AP402" s="198"/>
      <c r="AQ402" s="198"/>
      <c r="AR402" s="198"/>
      <c r="AS402" s="198"/>
      <c r="AT402" s="198"/>
      <c r="AU402" s="198"/>
      <c r="AV402" s="198"/>
      <c r="AW402" s="198"/>
    </row>
    <row r="403" spans="1:49" x14ac:dyDescent="0.25">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322"/>
      <c r="Y403" s="198"/>
      <c r="Z403" s="198"/>
      <c r="AA403" s="198"/>
      <c r="AB403" s="198"/>
      <c r="AC403" s="198"/>
      <c r="AD403" s="198"/>
      <c r="AE403" s="198"/>
      <c r="AF403" s="198"/>
      <c r="AG403" s="198"/>
      <c r="AH403" s="198"/>
      <c r="AI403" s="198"/>
      <c r="AJ403" s="198"/>
      <c r="AK403" s="198"/>
      <c r="AL403" s="198"/>
      <c r="AM403" s="198"/>
      <c r="AN403" s="198"/>
      <c r="AO403" s="198"/>
      <c r="AP403" s="198"/>
      <c r="AQ403" s="198"/>
      <c r="AR403" s="198"/>
      <c r="AS403" s="198"/>
      <c r="AT403" s="198"/>
      <c r="AU403" s="198"/>
      <c r="AV403" s="198"/>
      <c r="AW403" s="198"/>
    </row>
    <row r="404" spans="1:49" x14ac:dyDescent="0.25">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322"/>
      <c r="Y404" s="198"/>
      <c r="Z404" s="198"/>
      <c r="AA404" s="198"/>
      <c r="AB404" s="198"/>
      <c r="AC404" s="198"/>
      <c r="AD404" s="198"/>
      <c r="AE404" s="198"/>
      <c r="AF404" s="198"/>
      <c r="AG404" s="198"/>
      <c r="AH404" s="198"/>
      <c r="AI404" s="198"/>
      <c r="AJ404" s="198"/>
      <c r="AK404" s="198"/>
      <c r="AL404" s="198"/>
      <c r="AM404" s="198"/>
      <c r="AN404" s="198"/>
      <c r="AO404" s="198"/>
      <c r="AP404" s="198"/>
      <c r="AQ404" s="198"/>
      <c r="AR404" s="198"/>
      <c r="AS404" s="198"/>
      <c r="AT404" s="198"/>
      <c r="AU404" s="198"/>
      <c r="AV404" s="198"/>
      <c r="AW404" s="198"/>
    </row>
    <row r="405" spans="1:49" x14ac:dyDescent="0.25">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322"/>
      <c r="Y405" s="198"/>
      <c r="Z405" s="198"/>
      <c r="AA405" s="198"/>
      <c r="AB405" s="198"/>
      <c r="AC405" s="198"/>
      <c r="AD405" s="198"/>
      <c r="AE405" s="198"/>
      <c r="AF405" s="198"/>
      <c r="AG405" s="198"/>
      <c r="AH405" s="198"/>
      <c r="AI405" s="198"/>
      <c r="AJ405" s="198"/>
      <c r="AK405" s="198"/>
      <c r="AL405" s="198"/>
      <c r="AM405" s="198"/>
      <c r="AN405" s="198"/>
      <c r="AO405" s="198"/>
      <c r="AP405" s="198"/>
      <c r="AQ405" s="198"/>
      <c r="AR405" s="198"/>
      <c r="AS405" s="198"/>
      <c r="AT405" s="198"/>
      <c r="AU405" s="198"/>
      <c r="AV405" s="198"/>
      <c r="AW405" s="198"/>
    </row>
    <row r="406" spans="1:49" x14ac:dyDescent="0.25">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322"/>
      <c r="Y406" s="198"/>
      <c r="Z406" s="198"/>
      <c r="AA406" s="198"/>
      <c r="AB406" s="198"/>
      <c r="AC406" s="198"/>
      <c r="AD406" s="198"/>
      <c r="AE406" s="198"/>
      <c r="AF406" s="198"/>
      <c r="AG406" s="198"/>
      <c r="AH406" s="198"/>
      <c r="AI406" s="198"/>
      <c r="AJ406" s="198"/>
      <c r="AK406" s="198"/>
      <c r="AL406" s="198"/>
      <c r="AM406" s="198"/>
      <c r="AN406" s="198"/>
      <c r="AO406" s="198"/>
      <c r="AP406" s="198"/>
      <c r="AQ406" s="198"/>
      <c r="AR406" s="198"/>
      <c r="AS406" s="198"/>
      <c r="AT406" s="198"/>
      <c r="AU406" s="198"/>
      <c r="AV406" s="198"/>
      <c r="AW406" s="198"/>
    </row>
    <row r="407" spans="1:49" x14ac:dyDescent="0.25">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322"/>
      <c r="Y407" s="198"/>
      <c r="Z407" s="198"/>
      <c r="AA407" s="198"/>
      <c r="AB407" s="198"/>
      <c r="AC407" s="198"/>
      <c r="AD407" s="198"/>
      <c r="AE407" s="198"/>
      <c r="AF407" s="198"/>
      <c r="AG407" s="198"/>
      <c r="AH407" s="198"/>
      <c r="AI407" s="198"/>
      <c r="AJ407" s="198"/>
      <c r="AK407" s="198"/>
      <c r="AL407" s="198"/>
      <c r="AM407" s="198"/>
      <c r="AN407" s="198"/>
      <c r="AO407" s="198"/>
      <c r="AP407" s="198"/>
      <c r="AQ407" s="198"/>
      <c r="AR407" s="198"/>
      <c r="AS407" s="198"/>
      <c r="AT407" s="198"/>
      <c r="AU407" s="198"/>
      <c r="AV407" s="198"/>
      <c r="AW407" s="198"/>
    </row>
    <row r="408" spans="1:49" x14ac:dyDescent="0.25">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322"/>
      <c r="Y408" s="198"/>
      <c r="Z408" s="198"/>
      <c r="AA408" s="198"/>
      <c r="AB408" s="198"/>
      <c r="AC408" s="198"/>
      <c r="AD408" s="198"/>
      <c r="AE408" s="198"/>
      <c r="AF408" s="198"/>
      <c r="AG408" s="198"/>
      <c r="AH408" s="198"/>
      <c r="AI408" s="198"/>
      <c r="AJ408" s="198"/>
      <c r="AK408" s="198"/>
      <c r="AL408" s="198"/>
      <c r="AM408" s="198"/>
      <c r="AN408" s="198"/>
      <c r="AO408" s="198"/>
      <c r="AP408" s="198"/>
      <c r="AQ408" s="198"/>
      <c r="AR408" s="198"/>
      <c r="AS408" s="198"/>
      <c r="AT408" s="198"/>
      <c r="AU408" s="198"/>
      <c r="AV408" s="198"/>
      <c r="AW408" s="198"/>
    </row>
    <row r="409" spans="1:49" x14ac:dyDescent="0.25">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322"/>
      <c r="Y409" s="198"/>
      <c r="Z409" s="198"/>
      <c r="AA409" s="198"/>
      <c r="AB409" s="198"/>
      <c r="AC409" s="198"/>
      <c r="AD409" s="198"/>
      <c r="AE409" s="198"/>
      <c r="AF409" s="198"/>
      <c r="AG409" s="198"/>
      <c r="AH409" s="198"/>
      <c r="AI409" s="198"/>
      <c r="AJ409" s="198"/>
      <c r="AK409" s="198"/>
      <c r="AL409" s="198"/>
      <c r="AM409" s="198"/>
      <c r="AN409" s="198"/>
      <c r="AO409" s="198"/>
      <c r="AP409" s="198"/>
      <c r="AQ409" s="198"/>
      <c r="AR409" s="198"/>
      <c r="AS409" s="198"/>
      <c r="AT409" s="198"/>
      <c r="AU409" s="198"/>
      <c r="AV409" s="198"/>
      <c r="AW409" s="198"/>
    </row>
    <row r="410" spans="1:49" x14ac:dyDescent="0.25">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322"/>
      <c r="Y410" s="198"/>
      <c r="Z410" s="198"/>
      <c r="AA410" s="198"/>
      <c r="AB410" s="198"/>
      <c r="AC410" s="198"/>
      <c r="AD410" s="198"/>
      <c r="AE410" s="198"/>
      <c r="AF410" s="198"/>
      <c r="AG410" s="198"/>
      <c r="AH410" s="198"/>
      <c r="AI410" s="198"/>
      <c r="AJ410" s="198"/>
      <c r="AK410" s="198"/>
      <c r="AL410" s="198"/>
      <c r="AM410" s="198"/>
      <c r="AN410" s="198"/>
      <c r="AO410" s="198"/>
      <c r="AP410" s="198"/>
      <c r="AQ410" s="198"/>
      <c r="AR410" s="198"/>
      <c r="AS410" s="198"/>
      <c r="AT410" s="198"/>
      <c r="AU410" s="198"/>
      <c r="AV410" s="198"/>
      <c r="AW410" s="198"/>
    </row>
    <row r="411" spans="1:49" x14ac:dyDescent="0.25">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322"/>
      <c r="Y411" s="198"/>
      <c r="Z411" s="198"/>
      <c r="AA411" s="198"/>
      <c r="AB411" s="198"/>
      <c r="AC411" s="198"/>
      <c r="AD411" s="198"/>
      <c r="AE411" s="198"/>
      <c r="AF411" s="198"/>
      <c r="AG411" s="198"/>
      <c r="AH411" s="198"/>
      <c r="AI411" s="198"/>
      <c r="AJ411" s="198"/>
      <c r="AK411" s="198"/>
      <c r="AL411" s="198"/>
      <c r="AM411" s="198"/>
      <c r="AN411" s="198"/>
      <c r="AO411" s="198"/>
      <c r="AP411" s="198"/>
      <c r="AQ411" s="198"/>
      <c r="AR411" s="198"/>
      <c r="AS411" s="198"/>
      <c r="AT411" s="198"/>
      <c r="AU411" s="198"/>
      <c r="AV411" s="198"/>
      <c r="AW411" s="198"/>
    </row>
    <row r="412" spans="1:49" x14ac:dyDescent="0.25">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322"/>
      <c r="Y412" s="198"/>
      <c r="Z412" s="198"/>
      <c r="AA412" s="198"/>
      <c r="AB412" s="198"/>
      <c r="AC412" s="198"/>
      <c r="AD412" s="198"/>
      <c r="AE412" s="198"/>
      <c r="AF412" s="198"/>
      <c r="AG412" s="198"/>
      <c r="AH412" s="198"/>
      <c r="AI412" s="198"/>
      <c r="AJ412" s="198"/>
      <c r="AK412" s="198"/>
      <c r="AL412" s="198"/>
      <c r="AM412" s="198"/>
      <c r="AN412" s="198"/>
      <c r="AO412" s="198"/>
      <c r="AP412" s="198"/>
      <c r="AQ412" s="198"/>
      <c r="AR412" s="198"/>
      <c r="AS412" s="198"/>
      <c r="AT412" s="198"/>
      <c r="AU412" s="198"/>
      <c r="AV412" s="198"/>
      <c r="AW412" s="198"/>
    </row>
    <row r="413" spans="1:49" x14ac:dyDescent="0.25">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322"/>
      <c r="Y413" s="198"/>
      <c r="Z413" s="198"/>
      <c r="AA413" s="198"/>
      <c r="AB413" s="198"/>
      <c r="AC413" s="198"/>
      <c r="AD413" s="198"/>
      <c r="AE413" s="198"/>
      <c r="AF413" s="198"/>
      <c r="AG413" s="198"/>
      <c r="AH413" s="198"/>
      <c r="AI413" s="198"/>
      <c r="AJ413" s="198"/>
      <c r="AK413" s="198"/>
      <c r="AL413" s="198"/>
      <c r="AM413" s="198"/>
      <c r="AN413" s="198"/>
      <c r="AO413" s="198"/>
      <c r="AP413" s="198"/>
      <c r="AQ413" s="198"/>
      <c r="AR413" s="198"/>
      <c r="AS413" s="198"/>
      <c r="AT413" s="198"/>
      <c r="AU413" s="198"/>
      <c r="AV413" s="198"/>
      <c r="AW413" s="198"/>
    </row>
    <row r="414" spans="1:49" x14ac:dyDescent="0.25">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322"/>
      <c r="Y414" s="198"/>
      <c r="Z414" s="198"/>
      <c r="AA414" s="198"/>
      <c r="AB414" s="198"/>
      <c r="AC414" s="198"/>
      <c r="AD414" s="198"/>
      <c r="AE414" s="198"/>
      <c r="AF414" s="198"/>
      <c r="AG414" s="198"/>
      <c r="AH414" s="198"/>
      <c r="AI414" s="198"/>
      <c r="AJ414" s="198"/>
      <c r="AK414" s="198"/>
      <c r="AL414" s="198"/>
      <c r="AM414" s="198"/>
      <c r="AN414" s="198"/>
      <c r="AO414" s="198"/>
      <c r="AP414" s="198"/>
      <c r="AQ414" s="198"/>
      <c r="AR414" s="198"/>
      <c r="AS414" s="198"/>
      <c r="AT414" s="198"/>
      <c r="AU414" s="198"/>
      <c r="AV414" s="198"/>
      <c r="AW414" s="198"/>
    </row>
    <row r="415" spans="1:49" x14ac:dyDescent="0.25">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322"/>
      <c r="Y415" s="198"/>
      <c r="Z415" s="198"/>
      <c r="AA415" s="198"/>
      <c r="AB415" s="198"/>
      <c r="AC415" s="198"/>
      <c r="AD415" s="198"/>
      <c r="AE415" s="198"/>
      <c r="AF415" s="198"/>
      <c r="AG415" s="198"/>
      <c r="AH415" s="198"/>
      <c r="AI415" s="198"/>
      <c r="AJ415" s="198"/>
      <c r="AK415" s="198"/>
      <c r="AL415" s="198"/>
      <c r="AM415" s="198"/>
      <c r="AN415" s="198"/>
      <c r="AO415" s="198"/>
      <c r="AP415" s="198"/>
      <c r="AQ415" s="198"/>
      <c r="AR415" s="198"/>
      <c r="AS415" s="198"/>
      <c r="AT415" s="198"/>
      <c r="AU415" s="198"/>
      <c r="AV415" s="198"/>
      <c r="AW415" s="198"/>
    </row>
    <row r="416" spans="1:49" x14ac:dyDescent="0.25">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322"/>
      <c r="Y416" s="198"/>
      <c r="Z416" s="198"/>
      <c r="AA416" s="198"/>
      <c r="AB416" s="198"/>
      <c r="AC416" s="198"/>
      <c r="AD416" s="198"/>
      <c r="AE416" s="198"/>
      <c r="AF416" s="198"/>
      <c r="AG416" s="198"/>
      <c r="AH416" s="198"/>
      <c r="AI416" s="198"/>
      <c r="AJ416" s="198"/>
      <c r="AK416" s="198"/>
      <c r="AL416" s="198"/>
      <c r="AM416" s="198"/>
      <c r="AN416" s="198"/>
      <c r="AO416" s="198"/>
      <c r="AP416" s="198"/>
      <c r="AQ416" s="198"/>
      <c r="AR416" s="198"/>
      <c r="AS416" s="198"/>
      <c r="AT416" s="198"/>
      <c r="AU416" s="198"/>
      <c r="AV416" s="198"/>
      <c r="AW416" s="198"/>
    </row>
    <row r="417" spans="1:49" x14ac:dyDescent="0.25">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322"/>
      <c r="Y417" s="198"/>
      <c r="Z417" s="198"/>
      <c r="AA417" s="198"/>
      <c r="AB417" s="198"/>
      <c r="AC417" s="198"/>
      <c r="AD417" s="198"/>
      <c r="AE417" s="198"/>
      <c r="AF417" s="198"/>
      <c r="AG417" s="198"/>
      <c r="AH417" s="198"/>
      <c r="AI417" s="198"/>
      <c r="AJ417" s="198"/>
      <c r="AK417" s="198"/>
      <c r="AL417" s="198"/>
      <c r="AM417" s="198"/>
      <c r="AN417" s="198"/>
      <c r="AO417" s="198"/>
      <c r="AP417" s="198"/>
      <c r="AQ417" s="198"/>
      <c r="AR417" s="198"/>
      <c r="AS417" s="198"/>
      <c r="AT417" s="198"/>
      <c r="AU417" s="198"/>
      <c r="AV417" s="198"/>
      <c r="AW417" s="198"/>
    </row>
    <row r="418" spans="1:49" x14ac:dyDescent="0.25">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322"/>
      <c r="Y418" s="198"/>
      <c r="Z418" s="198"/>
      <c r="AA418" s="198"/>
      <c r="AB418" s="198"/>
      <c r="AC418" s="198"/>
      <c r="AD418" s="198"/>
      <c r="AE418" s="198"/>
      <c r="AF418" s="198"/>
      <c r="AG418" s="198"/>
      <c r="AH418" s="198"/>
      <c r="AI418" s="198"/>
      <c r="AJ418" s="198"/>
      <c r="AK418" s="198"/>
      <c r="AL418" s="198"/>
      <c r="AM418" s="198"/>
      <c r="AN418" s="198"/>
      <c r="AO418" s="198"/>
      <c r="AP418" s="198"/>
      <c r="AQ418" s="198"/>
      <c r="AR418" s="198"/>
      <c r="AS418" s="198"/>
      <c r="AT418" s="198"/>
      <c r="AU418" s="198"/>
      <c r="AV418" s="198"/>
      <c r="AW418" s="198"/>
    </row>
    <row r="419" spans="1:49" x14ac:dyDescent="0.25">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322"/>
      <c r="Y419" s="198"/>
      <c r="Z419" s="198"/>
      <c r="AA419" s="198"/>
      <c r="AB419" s="198"/>
      <c r="AC419" s="198"/>
      <c r="AD419" s="198"/>
      <c r="AE419" s="198"/>
      <c r="AF419" s="198"/>
      <c r="AG419" s="198"/>
      <c r="AH419" s="198"/>
      <c r="AI419" s="198"/>
      <c r="AJ419" s="198"/>
      <c r="AK419" s="198"/>
      <c r="AL419" s="198"/>
      <c r="AM419" s="198"/>
      <c r="AN419" s="198"/>
      <c r="AO419" s="198"/>
      <c r="AP419" s="198"/>
      <c r="AQ419" s="198"/>
      <c r="AR419" s="198"/>
      <c r="AS419" s="198"/>
      <c r="AT419" s="198"/>
      <c r="AU419" s="198"/>
      <c r="AV419" s="198"/>
      <c r="AW419" s="198"/>
    </row>
    <row r="420" spans="1:49" x14ac:dyDescent="0.25">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322"/>
      <c r="Y420" s="198"/>
      <c r="Z420" s="198"/>
      <c r="AA420" s="198"/>
      <c r="AB420" s="198"/>
      <c r="AC420" s="198"/>
      <c r="AD420" s="198"/>
      <c r="AE420" s="198"/>
      <c r="AF420" s="198"/>
      <c r="AG420" s="198"/>
      <c r="AH420" s="198"/>
      <c r="AI420" s="198"/>
      <c r="AJ420" s="198"/>
      <c r="AK420" s="198"/>
      <c r="AL420" s="198"/>
      <c r="AM420" s="198"/>
      <c r="AN420" s="198"/>
      <c r="AO420" s="198"/>
      <c r="AP420" s="198"/>
      <c r="AQ420" s="198"/>
      <c r="AR420" s="198"/>
      <c r="AS420" s="198"/>
      <c r="AT420" s="198"/>
      <c r="AU420" s="198"/>
      <c r="AV420" s="198"/>
      <c r="AW420" s="198"/>
    </row>
    <row r="421" spans="1:49" x14ac:dyDescent="0.25">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322"/>
      <c r="Y421" s="198"/>
      <c r="Z421" s="198"/>
      <c r="AA421" s="198"/>
      <c r="AB421" s="198"/>
      <c r="AC421" s="198"/>
      <c r="AD421" s="198"/>
      <c r="AE421" s="198"/>
      <c r="AF421" s="198"/>
      <c r="AG421" s="198"/>
      <c r="AH421" s="198"/>
      <c r="AI421" s="198"/>
      <c r="AJ421" s="198"/>
      <c r="AK421" s="198"/>
      <c r="AL421" s="198"/>
      <c r="AM421" s="198"/>
      <c r="AN421" s="198"/>
      <c r="AO421" s="198"/>
      <c r="AP421" s="198"/>
      <c r="AQ421" s="198"/>
      <c r="AR421" s="198"/>
      <c r="AS421" s="198"/>
      <c r="AT421" s="198"/>
      <c r="AU421" s="198"/>
      <c r="AV421" s="198"/>
      <c r="AW421" s="198"/>
    </row>
    <row r="422" spans="1:49" x14ac:dyDescent="0.25">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322"/>
      <c r="Y422" s="198"/>
      <c r="Z422" s="198"/>
      <c r="AA422" s="198"/>
      <c r="AB422" s="198"/>
      <c r="AC422" s="198"/>
      <c r="AD422" s="198"/>
      <c r="AE422" s="198"/>
      <c r="AF422" s="198"/>
      <c r="AG422" s="198"/>
      <c r="AH422" s="198"/>
      <c r="AI422" s="198"/>
      <c r="AJ422" s="198"/>
      <c r="AK422" s="198"/>
      <c r="AL422" s="198"/>
      <c r="AM422" s="198"/>
      <c r="AN422" s="198"/>
      <c r="AO422" s="198"/>
      <c r="AP422" s="198"/>
      <c r="AQ422" s="198"/>
      <c r="AR422" s="198"/>
      <c r="AS422" s="198"/>
      <c r="AT422" s="198"/>
      <c r="AU422" s="198"/>
      <c r="AV422" s="198"/>
      <c r="AW422" s="198"/>
    </row>
    <row r="423" spans="1:49" x14ac:dyDescent="0.25">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322"/>
      <c r="Y423" s="198"/>
      <c r="Z423" s="198"/>
      <c r="AA423" s="198"/>
      <c r="AB423" s="198"/>
      <c r="AC423" s="198"/>
      <c r="AD423" s="198"/>
      <c r="AE423" s="198"/>
      <c r="AF423" s="198"/>
      <c r="AG423" s="198"/>
      <c r="AH423" s="198"/>
      <c r="AI423" s="198"/>
      <c r="AJ423" s="198"/>
      <c r="AK423" s="198"/>
      <c r="AL423" s="198"/>
      <c r="AM423" s="198"/>
      <c r="AN423" s="198"/>
      <c r="AO423" s="198"/>
      <c r="AP423" s="198"/>
      <c r="AQ423" s="198"/>
      <c r="AR423" s="198"/>
      <c r="AS423" s="198"/>
      <c r="AT423" s="198"/>
      <c r="AU423" s="198"/>
      <c r="AV423" s="198"/>
      <c r="AW423" s="198"/>
    </row>
    <row r="424" spans="1:49" x14ac:dyDescent="0.25">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322"/>
      <c r="Y424" s="198"/>
      <c r="Z424" s="198"/>
      <c r="AA424" s="198"/>
      <c r="AB424" s="198"/>
      <c r="AC424" s="198"/>
      <c r="AD424" s="198"/>
      <c r="AE424" s="198"/>
      <c r="AF424" s="198"/>
      <c r="AG424" s="198"/>
      <c r="AH424" s="198"/>
      <c r="AI424" s="198"/>
      <c r="AJ424" s="198"/>
      <c r="AK424" s="198"/>
      <c r="AL424" s="198"/>
      <c r="AM424" s="198"/>
      <c r="AN424" s="198"/>
      <c r="AO424" s="198"/>
      <c r="AP424" s="198"/>
      <c r="AQ424" s="198"/>
      <c r="AR424" s="198"/>
      <c r="AS424" s="198"/>
      <c r="AT424" s="198"/>
      <c r="AU424" s="198"/>
      <c r="AV424" s="198"/>
      <c r="AW424" s="198"/>
    </row>
    <row r="425" spans="1:49" x14ac:dyDescent="0.25">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322"/>
      <c r="Y425" s="198"/>
      <c r="Z425" s="198"/>
      <c r="AA425" s="198"/>
      <c r="AB425" s="198"/>
      <c r="AC425" s="198"/>
      <c r="AD425" s="198"/>
      <c r="AE425" s="198"/>
      <c r="AF425" s="198"/>
      <c r="AG425" s="198"/>
      <c r="AH425" s="198"/>
      <c r="AI425" s="198"/>
      <c r="AJ425" s="198"/>
      <c r="AK425" s="198"/>
      <c r="AL425" s="198"/>
      <c r="AM425" s="198"/>
      <c r="AN425" s="198"/>
      <c r="AO425" s="198"/>
      <c r="AP425" s="198"/>
      <c r="AQ425" s="198"/>
      <c r="AR425" s="198"/>
      <c r="AS425" s="198"/>
      <c r="AT425" s="198"/>
      <c r="AU425" s="198"/>
      <c r="AV425" s="198"/>
      <c r="AW425" s="198"/>
    </row>
    <row r="426" spans="1:49" x14ac:dyDescent="0.25">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322"/>
      <c r="Y426" s="198"/>
      <c r="Z426" s="198"/>
      <c r="AA426" s="198"/>
      <c r="AB426" s="198"/>
      <c r="AC426" s="198"/>
      <c r="AD426" s="198"/>
      <c r="AE426" s="198"/>
      <c r="AF426" s="198"/>
      <c r="AG426" s="198"/>
      <c r="AH426" s="198"/>
      <c r="AI426" s="198"/>
      <c r="AJ426" s="198"/>
      <c r="AK426" s="198"/>
      <c r="AL426" s="198"/>
      <c r="AM426" s="198"/>
      <c r="AN426" s="198"/>
      <c r="AO426" s="198"/>
      <c r="AP426" s="198"/>
      <c r="AQ426" s="198"/>
      <c r="AR426" s="198"/>
      <c r="AS426" s="198"/>
      <c r="AT426" s="198"/>
      <c r="AU426" s="198"/>
      <c r="AV426" s="198"/>
      <c r="AW426" s="198"/>
    </row>
    <row r="427" spans="1:49" x14ac:dyDescent="0.25">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322"/>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row>
    <row r="428" spans="1:49" x14ac:dyDescent="0.25">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322"/>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row>
    <row r="429" spans="1:49" x14ac:dyDescent="0.25">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322"/>
      <c r="Y429" s="198"/>
      <c r="Z429" s="198"/>
      <c r="AA429" s="198"/>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row>
    <row r="430" spans="1:49" x14ac:dyDescent="0.25">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322"/>
      <c r="Y430" s="198"/>
      <c r="Z430" s="198"/>
      <c r="AA430" s="198"/>
      <c r="AB430" s="198"/>
      <c r="AC430" s="198"/>
      <c r="AD430" s="198"/>
      <c r="AE430" s="198"/>
      <c r="AF430" s="198"/>
      <c r="AG430" s="198"/>
      <c r="AH430" s="198"/>
      <c r="AI430" s="198"/>
      <c r="AJ430" s="198"/>
      <c r="AK430" s="198"/>
      <c r="AL430" s="198"/>
      <c r="AM430" s="198"/>
      <c r="AN430" s="198"/>
      <c r="AO430" s="198"/>
      <c r="AP430" s="198"/>
      <c r="AQ430" s="198"/>
      <c r="AR430" s="198"/>
      <c r="AS430" s="198"/>
      <c r="AT430" s="198"/>
      <c r="AU430" s="198"/>
      <c r="AV430" s="198"/>
      <c r="AW430" s="198"/>
    </row>
    <row r="431" spans="1:49" x14ac:dyDescent="0.25">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322"/>
      <c r="Y431" s="198"/>
      <c r="Z431" s="198"/>
      <c r="AA431" s="198"/>
      <c r="AB431" s="198"/>
      <c r="AC431" s="198"/>
      <c r="AD431" s="198"/>
      <c r="AE431" s="198"/>
      <c r="AF431" s="198"/>
      <c r="AG431" s="198"/>
      <c r="AH431" s="198"/>
      <c r="AI431" s="198"/>
      <c r="AJ431" s="198"/>
      <c r="AK431" s="198"/>
      <c r="AL431" s="198"/>
      <c r="AM431" s="198"/>
      <c r="AN431" s="198"/>
      <c r="AO431" s="198"/>
      <c r="AP431" s="198"/>
      <c r="AQ431" s="198"/>
      <c r="AR431" s="198"/>
      <c r="AS431" s="198"/>
      <c r="AT431" s="198"/>
      <c r="AU431" s="198"/>
      <c r="AV431" s="198"/>
      <c r="AW431" s="198"/>
    </row>
    <row r="432" spans="1:49" x14ac:dyDescent="0.25">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322"/>
      <c r="Y432" s="198"/>
      <c r="Z432" s="198"/>
      <c r="AA432" s="198"/>
      <c r="AB432" s="198"/>
      <c r="AC432" s="198"/>
      <c r="AD432" s="198"/>
      <c r="AE432" s="198"/>
      <c r="AF432" s="198"/>
      <c r="AG432" s="198"/>
      <c r="AH432" s="198"/>
      <c r="AI432" s="198"/>
      <c r="AJ432" s="198"/>
      <c r="AK432" s="198"/>
      <c r="AL432" s="198"/>
      <c r="AM432" s="198"/>
      <c r="AN432" s="198"/>
      <c r="AO432" s="198"/>
      <c r="AP432" s="198"/>
      <c r="AQ432" s="198"/>
      <c r="AR432" s="198"/>
      <c r="AS432" s="198"/>
      <c r="AT432" s="198"/>
      <c r="AU432" s="198"/>
      <c r="AV432" s="198"/>
      <c r="AW432" s="198"/>
    </row>
    <row r="433" spans="1:49" x14ac:dyDescent="0.25">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322"/>
      <c r="Y433" s="198"/>
      <c r="Z433" s="198"/>
      <c r="AA433" s="198"/>
      <c r="AB433" s="198"/>
      <c r="AC433" s="198"/>
      <c r="AD433" s="198"/>
      <c r="AE433" s="198"/>
      <c r="AF433" s="198"/>
      <c r="AG433" s="198"/>
      <c r="AH433" s="198"/>
      <c r="AI433" s="198"/>
      <c r="AJ433" s="198"/>
      <c r="AK433" s="198"/>
      <c r="AL433" s="198"/>
      <c r="AM433" s="198"/>
      <c r="AN433" s="198"/>
      <c r="AO433" s="198"/>
      <c r="AP433" s="198"/>
      <c r="AQ433" s="198"/>
      <c r="AR433" s="198"/>
      <c r="AS433" s="198"/>
      <c r="AT433" s="198"/>
      <c r="AU433" s="198"/>
      <c r="AV433" s="198"/>
      <c r="AW433" s="198"/>
    </row>
    <row r="434" spans="1:49" x14ac:dyDescent="0.25">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322"/>
      <c r="Y434" s="198"/>
      <c r="Z434" s="198"/>
      <c r="AA434" s="198"/>
      <c r="AB434" s="198"/>
      <c r="AC434" s="198"/>
      <c r="AD434" s="198"/>
      <c r="AE434" s="198"/>
      <c r="AF434" s="198"/>
      <c r="AG434" s="198"/>
      <c r="AH434" s="198"/>
      <c r="AI434" s="198"/>
      <c r="AJ434" s="198"/>
      <c r="AK434" s="198"/>
      <c r="AL434" s="198"/>
      <c r="AM434" s="198"/>
      <c r="AN434" s="198"/>
      <c r="AO434" s="198"/>
      <c r="AP434" s="198"/>
      <c r="AQ434" s="198"/>
      <c r="AR434" s="198"/>
      <c r="AS434" s="198"/>
      <c r="AT434" s="198"/>
      <c r="AU434" s="198"/>
      <c r="AV434" s="198"/>
      <c r="AW434" s="198"/>
    </row>
    <row r="435" spans="1:49" x14ac:dyDescent="0.25">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322"/>
      <c r="Y435" s="198"/>
      <c r="Z435" s="198"/>
      <c r="AA435" s="198"/>
      <c r="AB435" s="198"/>
      <c r="AC435" s="198"/>
      <c r="AD435" s="198"/>
      <c r="AE435" s="198"/>
      <c r="AF435" s="198"/>
      <c r="AG435" s="198"/>
      <c r="AH435" s="198"/>
      <c r="AI435" s="198"/>
      <c r="AJ435" s="198"/>
      <c r="AK435" s="198"/>
      <c r="AL435" s="198"/>
      <c r="AM435" s="198"/>
      <c r="AN435" s="198"/>
      <c r="AO435" s="198"/>
      <c r="AP435" s="198"/>
      <c r="AQ435" s="198"/>
      <c r="AR435" s="198"/>
      <c r="AS435" s="198"/>
      <c r="AT435" s="198"/>
      <c r="AU435" s="198"/>
      <c r="AV435" s="198"/>
      <c r="AW435" s="198"/>
    </row>
    <row r="436" spans="1:49" x14ac:dyDescent="0.25">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322"/>
      <c r="Y436" s="198"/>
      <c r="Z436" s="198"/>
      <c r="AA436" s="198"/>
      <c r="AB436" s="198"/>
      <c r="AC436" s="198"/>
      <c r="AD436" s="198"/>
      <c r="AE436" s="198"/>
      <c r="AF436" s="198"/>
      <c r="AG436" s="198"/>
      <c r="AH436" s="198"/>
      <c r="AI436" s="198"/>
      <c r="AJ436" s="198"/>
      <c r="AK436" s="198"/>
      <c r="AL436" s="198"/>
      <c r="AM436" s="198"/>
      <c r="AN436" s="198"/>
      <c r="AO436" s="198"/>
      <c r="AP436" s="198"/>
      <c r="AQ436" s="198"/>
      <c r="AR436" s="198"/>
      <c r="AS436" s="198"/>
      <c r="AT436" s="198"/>
      <c r="AU436" s="198"/>
      <c r="AV436" s="198"/>
      <c r="AW436" s="198"/>
    </row>
    <row r="437" spans="1:49" x14ac:dyDescent="0.25">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322"/>
      <c r="Y437" s="198"/>
      <c r="Z437" s="198"/>
      <c r="AA437" s="198"/>
      <c r="AB437" s="198"/>
      <c r="AC437" s="198"/>
      <c r="AD437" s="198"/>
      <c r="AE437" s="198"/>
      <c r="AF437" s="198"/>
      <c r="AG437" s="198"/>
      <c r="AH437" s="198"/>
      <c r="AI437" s="198"/>
      <c r="AJ437" s="198"/>
      <c r="AK437" s="198"/>
      <c r="AL437" s="198"/>
      <c r="AM437" s="198"/>
      <c r="AN437" s="198"/>
      <c r="AO437" s="198"/>
      <c r="AP437" s="198"/>
      <c r="AQ437" s="198"/>
      <c r="AR437" s="198"/>
      <c r="AS437" s="198"/>
      <c r="AT437" s="198"/>
      <c r="AU437" s="198"/>
      <c r="AV437" s="198"/>
      <c r="AW437" s="198"/>
    </row>
    <row r="438" spans="1:49" x14ac:dyDescent="0.25">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322"/>
      <c r="Y438" s="198"/>
      <c r="Z438" s="198"/>
      <c r="AA438" s="198"/>
      <c r="AB438" s="198"/>
      <c r="AC438" s="198"/>
      <c r="AD438" s="198"/>
      <c r="AE438" s="198"/>
      <c r="AF438" s="198"/>
      <c r="AG438" s="198"/>
      <c r="AH438" s="198"/>
      <c r="AI438" s="198"/>
      <c r="AJ438" s="198"/>
      <c r="AK438" s="198"/>
      <c r="AL438" s="198"/>
      <c r="AM438" s="198"/>
      <c r="AN438" s="198"/>
      <c r="AO438" s="198"/>
      <c r="AP438" s="198"/>
      <c r="AQ438" s="198"/>
      <c r="AR438" s="198"/>
      <c r="AS438" s="198"/>
      <c r="AT438" s="198"/>
      <c r="AU438" s="198"/>
      <c r="AV438" s="198"/>
      <c r="AW438" s="198"/>
    </row>
    <row r="439" spans="1:49" x14ac:dyDescent="0.25">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322"/>
      <c r="Y439" s="198"/>
      <c r="Z439" s="198"/>
      <c r="AA439" s="198"/>
      <c r="AB439" s="198"/>
      <c r="AC439" s="198"/>
      <c r="AD439" s="198"/>
      <c r="AE439" s="198"/>
      <c r="AF439" s="198"/>
      <c r="AG439" s="198"/>
      <c r="AH439" s="198"/>
      <c r="AI439" s="198"/>
      <c r="AJ439" s="198"/>
      <c r="AK439" s="198"/>
      <c r="AL439" s="198"/>
      <c r="AM439" s="198"/>
      <c r="AN439" s="198"/>
      <c r="AO439" s="198"/>
      <c r="AP439" s="198"/>
      <c r="AQ439" s="198"/>
      <c r="AR439" s="198"/>
      <c r="AS439" s="198"/>
      <c r="AT439" s="198"/>
      <c r="AU439" s="198"/>
      <c r="AV439" s="198"/>
      <c r="AW439" s="198"/>
    </row>
    <row r="440" spans="1:49" x14ac:dyDescent="0.25">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322"/>
      <c r="Y440" s="198"/>
      <c r="Z440" s="198"/>
      <c r="AA440" s="198"/>
      <c r="AB440" s="198"/>
      <c r="AC440" s="198"/>
      <c r="AD440" s="198"/>
      <c r="AE440" s="198"/>
      <c r="AF440" s="198"/>
      <c r="AG440" s="198"/>
      <c r="AH440" s="198"/>
      <c r="AI440" s="198"/>
      <c r="AJ440" s="198"/>
      <c r="AK440" s="198"/>
      <c r="AL440" s="198"/>
      <c r="AM440" s="198"/>
      <c r="AN440" s="198"/>
      <c r="AO440" s="198"/>
      <c r="AP440" s="198"/>
      <c r="AQ440" s="198"/>
      <c r="AR440" s="198"/>
      <c r="AS440" s="198"/>
      <c r="AT440" s="198"/>
      <c r="AU440" s="198"/>
      <c r="AV440" s="198"/>
      <c r="AW440" s="198"/>
    </row>
    <row r="441" spans="1:49" x14ac:dyDescent="0.25">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322"/>
      <c r="Y441" s="198"/>
      <c r="Z441" s="198"/>
      <c r="AA441" s="198"/>
      <c r="AB441" s="198"/>
      <c r="AC441" s="198"/>
      <c r="AD441" s="198"/>
      <c r="AE441" s="198"/>
      <c r="AF441" s="198"/>
      <c r="AG441" s="198"/>
      <c r="AH441" s="198"/>
      <c r="AI441" s="198"/>
      <c r="AJ441" s="198"/>
      <c r="AK441" s="198"/>
      <c r="AL441" s="198"/>
      <c r="AM441" s="198"/>
      <c r="AN441" s="198"/>
      <c r="AO441" s="198"/>
      <c r="AP441" s="198"/>
      <c r="AQ441" s="198"/>
      <c r="AR441" s="198"/>
      <c r="AS441" s="198"/>
      <c r="AT441" s="198"/>
      <c r="AU441" s="198"/>
      <c r="AV441" s="198"/>
      <c r="AW441" s="198"/>
    </row>
    <row r="442" spans="1:49" x14ac:dyDescent="0.25">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322"/>
      <c r="Y442" s="198"/>
      <c r="Z442" s="198"/>
      <c r="AA442" s="198"/>
      <c r="AB442" s="198"/>
      <c r="AC442" s="198"/>
      <c r="AD442" s="198"/>
      <c r="AE442" s="198"/>
      <c r="AF442" s="198"/>
      <c r="AG442" s="198"/>
      <c r="AH442" s="198"/>
      <c r="AI442" s="198"/>
      <c r="AJ442" s="198"/>
      <c r="AK442" s="198"/>
      <c r="AL442" s="198"/>
      <c r="AM442" s="198"/>
      <c r="AN442" s="198"/>
      <c r="AO442" s="198"/>
      <c r="AP442" s="198"/>
      <c r="AQ442" s="198"/>
      <c r="AR442" s="198"/>
      <c r="AS442" s="198"/>
      <c r="AT442" s="198"/>
      <c r="AU442" s="198"/>
      <c r="AV442" s="198"/>
      <c r="AW442" s="198"/>
    </row>
    <row r="443" spans="1:49" x14ac:dyDescent="0.25">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322"/>
      <c r="Y443" s="198"/>
      <c r="Z443" s="198"/>
      <c r="AA443" s="198"/>
      <c r="AB443" s="198"/>
      <c r="AC443" s="198"/>
      <c r="AD443" s="198"/>
      <c r="AE443" s="198"/>
      <c r="AF443" s="198"/>
      <c r="AG443" s="198"/>
      <c r="AH443" s="198"/>
      <c r="AI443" s="198"/>
      <c r="AJ443" s="198"/>
      <c r="AK443" s="198"/>
      <c r="AL443" s="198"/>
      <c r="AM443" s="198"/>
      <c r="AN443" s="198"/>
      <c r="AO443" s="198"/>
      <c r="AP443" s="198"/>
      <c r="AQ443" s="198"/>
      <c r="AR443" s="198"/>
      <c r="AS443" s="198"/>
      <c r="AT443" s="198"/>
      <c r="AU443" s="198"/>
      <c r="AV443" s="198"/>
      <c r="AW443" s="198"/>
    </row>
    <row r="444" spans="1:49" x14ac:dyDescent="0.25">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322"/>
      <c r="Y444" s="198"/>
      <c r="Z444" s="198"/>
      <c r="AA444" s="198"/>
      <c r="AB444" s="198"/>
      <c r="AC444" s="198"/>
      <c r="AD444" s="198"/>
      <c r="AE444" s="198"/>
      <c r="AF444" s="198"/>
      <c r="AG444" s="198"/>
      <c r="AH444" s="198"/>
      <c r="AI444" s="198"/>
      <c r="AJ444" s="198"/>
      <c r="AK444" s="198"/>
      <c r="AL444" s="198"/>
      <c r="AM444" s="198"/>
      <c r="AN444" s="198"/>
      <c r="AO444" s="198"/>
      <c r="AP444" s="198"/>
      <c r="AQ444" s="198"/>
      <c r="AR444" s="198"/>
      <c r="AS444" s="198"/>
      <c r="AT444" s="198"/>
      <c r="AU444" s="198"/>
      <c r="AV444" s="198"/>
      <c r="AW444" s="198"/>
    </row>
    <row r="445" spans="1:49" x14ac:dyDescent="0.25">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322"/>
      <c r="Y445" s="198"/>
      <c r="Z445" s="198"/>
      <c r="AA445" s="198"/>
      <c r="AB445" s="198"/>
      <c r="AC445" s="198"/>
      <c r="AD445" s="198"/>
      <c r="AE445" s="198"/>
      <c r="AF445" s="198"/>
      <c r="AG445" s="198"/>
      <c r="AH445" s="198"/>
      <c r="AI445" s="198"/>
      <c r="AJ445" s="198"/>
      <c r="AK445" s="198"/>
      <c r="AL445" s="198"/>
      <c r="AM445" s="198"/>
      <c r="AN445" s="198"/>
      <c r="AO445" s="198"/>
      <c r="AP445" s="198"/>
      <c r="AQ445" s="198"/>
      <c r="AR445" s="198"/>
      <c r="AS445" s="198"/>
      <c r="AT445" s="198"/>
      <c r="AU445" s="198"/>
      <c r="AV445" s="198"/>
      <c r="AW445" s="198"/>
    </row>
    <row r="446" spans="1:49" x14ac:dyDescent="0.25">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322"/>
      <c r="Y446" s="198"/>
      <c r="Z446" s="198"/>
      <c r="AA446" s="198"/>
      <c r="AB446" s="198"/>
      <c r="AC446" s="198"/>
      <c r="AD446" s="198"/>
      <c r="AE446" s="198"/>
      <c r="AF446" s="198"/>
      <c r="AG446" s="198"/>
      <c r="AH446" s="198"/>
      <c r="AI446" s="198"/>
      <c r="AJ446" s="198"/>
      <c r="AK446" s="198"/>
      <c r="AL446" s="198"/>
      <c r="AM446" s="198"/>
      <c r="AN446" s="198"/>
      <c r="AO446" s="198"/>
      <c r="AP446" s="198"/>
      <c r="AQ446" s="198"/>
      <c r="AR446" s="198"/>
      <c r="AS446" s="198"/>
      <c r="AT446" s="198"/>
      <c r="AU446" s="198"/>
      <c r="AV446" s="198"/>
      <c r="AW446" s="198"/>
    </row>
    <row r="447" spans="1:49" x14ac:dyDescent="0.25">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322"/>
      <c r="Y447" s="198"/>
      <c r="Z447" s="198"/>
      <c r="AA447" s="198"/>
      <c r="AB447" s="198"/>
      <c r="AC447" s="198"/>
      <c r="AD447" s="198"/>
      <c r="AE447" s="198"/>
      <c r="AF447" s="198"/>
      <c r="AG447" s="198"/>
      <c r="AH447" s="198"/>
      <c r="AI447" s="198"/>
      <c r="AJ447" s="198"/>
      <c r="AK447" s="198"/>
      <c r="AL447" s="198"/>
      <c r="AM447" s="198"/>
      <c r="AN447" s="198"/>
      <c r="AO447" s="198"/>
      <c r="AP447" s="198"/>
      <c r="AQ447" s="198"/>
      <c r="AR447" s="198"/>
      <c r="AS447" s="198"/>
      <c r="AT447" s="198"/>
      <c r="AU447" s="198"/>
      <c r="AV447" s="198"/>
      <c r="AW447" s="198"/>
    </row>
    <row r="448" spans="1:49" x14ac:dyDescent="0.25">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322"/>
      <c r="Y448" s="198"/>
      <c r="Z448" s="198"/>
      <c r="AA448" s="198"/>
      <c r="AB448" s="198"/>
      <c r="AC448" s="198"/>
      <c r="AD448" s="198"/>
      <c r="AE448" s="198"/>
      <c r="AF448" s="198"/>
      <c r="AG448" s="198"/>
      <c r="AH448" s="198"/>
      <c r="AI448" s="198"/>
      <c r="AJ448" s="198"/>
      <c r="AK448" s="198"/>
      <c r="AL448" s="198"/>
      <c r="AM448" s="198"/>
      <c r="AN448" s="198"/>
      <c r="AO448" s="198"/>
      <c r="AP448" s="198"/>
      <c r="AQ448" s="198"/>
      <c r="AR448" s="198"/>
      <c r="AS448" s="198"/>
      <c r="AT448" s="198"/>
      <c r="AU448" s="198"/>
      <c r="AV448" s="198"/>
      <c r="AW448" s="198"/>
    </row>
    <row r="449" spans="1:49" x14ac:dyDescent="0.25">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322"/>
      <c r="Y449" s="198"/>
      <c r="Z449" s="198"/>
      <c r="AA449" s="198"/>
      <c r="AB449" s="198"/>
      <c r="AC449" s="198"/>
      <c r="AD449" s="198"/>
      <c r="AE449" s="198"/>
      <c r="AF449" s="198"/>
      <c r="AG449" s="198"/>
      <c r="AH449" s="198"/>
      <c r="AI449" s="198"/>
      <c r="AJ449" s="198"/>
      <c r="AK449" s="198"/>
      <c r="AL449" s="198"/>
      <c r="AM449" s="198"/>
      <c r="AN449" s="198"/>
      <c r="AO449" s="198"/>
      <c r="AP449" s="198"/>
      <c r="AQ449" s="198"/>
      <c r="AR449" s="198"/>
      <c r="AS449" s="198"/>
      <c r="AT449" s="198"/>
      <c r="AU449" s="198"/>
      <c r="AV449" s="198"/>
      <c r="AW449" s="198"/>
    </row>
    <row r="450" spans="1:49" x14ac:dyDescent="0.25">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322"/>
      <c r="Y450" s="198"/>
      <c r="Z450" s="198"/>
      <c r="AA450" s="198"/>
      <c r="AB450" s="198"/>
      <c r="AC450" s="198"/>
      <c r="AD450" s="198"/>
      <c r="AE450" s="198"/>
      <c r="AF450" s="198"/>
      <c r="AG450" s="198"/>
      <c r="AH450" s="198"/>
      <c r="AI450" s="198"/>
      <c r="AJ450" s="198"/>
      <c r="AK450" s="198"/>
      <c r="AL450" s="198"/>
      <c r="AM450" s="198"/>
      <c r="AN450" s="198"/>
      <c r="AO450" s="198"/>
      <c r="AP450" s="198"/>
      <c r="AQ450" s="198"/>
      <c r="AR450" s="198"/>
      <c r="AS450" s="198"/>
      <c r="AT450" s="198"/>
      <c r="AU450" s="198"/>
      <c r="AV450" s="198"/>
      <c r="AW450" s="198"/>
    </row>
    <row r="451" spans="1:49" x14ac:dyDescent="0.25">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322"/>
      <c r="Y451" s="198"/>
      <c r="Z451" s="198"/>
      <c r="AA451" s="198"/>
      <c r="AB451" s="198"/>
      <c r="AC451" s="198"/>
      <c r="AD451" s="198"/>
      <c r="AE451" s="198"/>
      <c r="AF451" s="198"/>
      <c r="AG451" s="198"/>
      <c r="AH451" s="198"/>
      <c r="AI451" s="198"/>
      <c r="AJ451" s="198"/>
      <c r="AK451" s="198"/>
      <c r="AL451" s="198"/>
      <c r="AM451" s="198"/>
      <c r="AN451" s="198"/>
      <c r="AO451" s="198"/>
      <c r="AP451" s="198"/>
      <c r="AQ451" s="198"/>
      <c r="AR451" s="198"/>
      <c r="AS451" s="198"/>
      <c r="AT451" s="198"/>
      <c r="AU451" s="198"/>
      <c r="AV451" s="198"/>
      <c r="AW451" s="198"/>
    </row>
    <row r="452" spans="1:49" x14ac:dyDescent="0.25">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322"/>
      <c r="Y452" s="198"/>
      <c r="Z452" s="198"/>
      <c r="AA452" s="198"/>
      <c r="AB452" s="198"/>
      <c r="AC452" s="198"/>
      <c r="AD452" s="198"/>
      <c r="AE452" s="198"/>
      <c r="AF452" s="198"/>
      <c r="AG452" s="198"/>
      <c r="AH452" s="198"/>
      <c r="AI452" s="198"/>
      <c r="AJ452" s="198"/>
      <c r="AK452" s="198"/>
      <c r="AL452" s="198"/>
      <c r="AM452" s="198"/>
      <c r="AN452" s="198"/>
      <c r="AO452" s="198"/>
      <c r="AP452" s="198"/>
      <c r="AQ452" s="198"/>
      <c r="AR452" s="198"/>
      <c r="AS452" s="198"/>
      <c r="AT452" s="198"/>
      <c r="AU452" s="198"/>
      <c r="AV452" s="198"/>
      <c r="AW452" s="198"/>
    </row>
    <row r="453" spans="1:49" x14ac:dyDescent="0.25">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322"/>
      <c r="Y453" s="198"/>
      <c r="Z453" s="198"/>
      <c r="AA453" s="198"/>
      <c r="AB453" s="198"/>
      <c r="AC453" s="198"/>
      <c r="AD453" s="198"/>
      <c r="AE453" s="198"/>
      <c r="AF453" s="198"/>
      <c r="AG453" s="198"/>
      <c r="AH453" s="198"/>
      <c r="AI453" s="198"/>
      <c r="AJ453" s="198"/>
      <c r="AK453" s="198"/>
      <c r="AL453" s="198"/>
      <c r="AM453" s="198"/>
      <c r="AN453" s="198"/>
      <c r="AO453" s="198"/>
      <c r="AP453" s="198"/>
      <c r="AQ453" s="198"/>
      <c r="AR453" s="198"/>
      <c r="AS453" s="198"/>
      <c r="AT453" s="198"/>
      <c r="AU453" s="198"/>
      <c r="AV453" s="198"/>
      <c r="AW453" s="198"/>
    </row>
    <row r="454" spans="1:49" x14ac:dyDescent="0.25">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322"/>
      <c r="Y454" s="198"/>
      <c r="Z454" s="198"/>
      <c r="AA454" s="198"/>
      <c r="AB454" s="198"/>
      <c r="AC454" s="198"/>
      <c r="AD454" s="198"/>
      <c r="AE454" s="198"/>
      <c r="AF454" s="198"/>
      <c r="AG454" s="198"/>
      <c r="AH454" s="198"/>
      <c r="AI454" s="198"/>
      <c r="AJ454" s="198"/>
      <c r="AK454" s="198"/>
      <c r="AL454" s="198"/>
      <c r="AM454" s="198"/>
      <c r="AN454" s="198"/>
      <c r="AO454" s="198"/>
      <c r="AP454" s="198"/>
      <c r="AQ454" s="198"/>
      <c r="AR454" s="198"/>
      <c r="AS454" s="198"/>
      <c r="AT454" s="198"/>
      <c r="AU454" s="198"/>
      <c r="AV454" s="198"/>
      <c r="AW454" s="198"/>
    </row>
    <row r="455" spans="1:49" x14ac:dyDescent="0.25">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322"/>
      <c r="Y455" s="198"/>
      <c r="Z455" s="198"/>
      <c r="AA455" s="198"/>
      <c r="AB455" s="198"/>
      <c r="AC455" s="198"/>
      <c r="AD455" s="198"/>
      <c r="AE455" s="198"/>
      <c r="AF455" s="198"/>
      <c r="AG455" s="198"/>
      <c r="AH455" s="198"/>
      <c r="AI455" s="198"/>
      <c r="AJ455" s="198"/>
      <c r="AK455" s="198"/>
      <c r="AL455" s="198"/>
      <c r="AM455" s="198"/>
      <c r="AN455" s="198"/>
      <c r="AO455" s="198"/>
      <c r="AP455" s="198"/>
      <c r="AQ455" s="198"/>
      <c r="AR455" s="198"/>
      <c r="AS455" s="198"/>
      <c r="AT455" s="198"/>
      <c r="AU455" s="198"/>
      <c r="AV455" s="198"/>
      <c r="AW455" s="198"/>
    </row>
    <row r="456" spans="1:49" x14ac:dyDescent="0.25">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322"/>
      <c r="Y456" s="198"/>
      <c r="Z456" s="198"/>
      <c r="AA456" s="198"/>
      <c r="AB456" s="198"/>
      <c r="AC456" s="198"/>
      <c r="AD456" s="198"/>
      <c r="AE456" s="198"/>
      <c r="AF456" s="198"/>
      <c r="AG456" s="198"/>
      <c r="AH456" s="198"/>
      <c r="AI456" s="198"/>
      <c r="AJ456" s="198"/>
      <c r="AK456" s="198"/>
      <c r="AL456" s="198"/>
      <c r="AM456" s="198"/>
      <c r="AN456" s="198"/>
      <c r="AO456" s="198"/>
      <c r="AP456" s="198"/>
      <c r="AQ456" s="198"/>
      <c r="AR456" s="198"/>
      <c r="AS456" s="198"/>
      <c r="AT456" s="198"/>
      <c r="AU456" s="198"/>
      <c r="AV456" s="198"/>
      <c r="AW456" s="198"/>
    </row>
    <row r="457" spans="1:49" x14ac:dyDescent="0.25">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322"/>
      <c r="Y457" s="198"/>
      <c r="Z457" s="198"/>
      <c r="AA457" s="198"/>
      <c r="AB457" s="198"/>
      <c r="AC457" s="198"/>
      <c r="AD457" s="198"/>
      <c r="AE457" s="198"/>
      <c r="AF457" s="198"/>
      <c r="AG457" s="198"/>
      <c r="AH457" s="198"/>
      <c r="AI457" s="198"/>
      <c r="AJ457" s="198"/>
      <c r="AK457" s="198"/>
      <c r="AL457" s="198"/>
      <c r="AM457" s="198"/>
      <c r="AN457" s="198"/>
      <c r="AO457" s="198"/>
      <c r="AP457" s="198"/>
      <c r="AQ457" s="198"/>
      <c r="AR457" s="198"/>
      <c r="AS457" s="198"/>
      <c r="AT457" s="198"/>
      <c r="AU457" s="198"/>
      <c r="AV457" s="198"/>
      <c r="AW457" s="198"/>
    </row>
    <row r="458" spans="1:49" x14ac:dyDescent="0.25">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322"/>
      <c r="Y458" s="198"/>
      <c r="Z458" s="198"/>
      <c r="AA458" s="198"/>
      <c r="AB458" s="198"/>
      <c r="AC458" s="198"/>
      <c r="AD458" s="198"/>
      <c r="AE458" s="198"/>
      <c r="AF458" s="198"/>
      <c r="AG458" s="198"/>
      <c r="AH458" s="198"/>
      <c r="AI458" s="198"/>
      <c r="AJ458" s="198"/>
      <c r="AK458" s="198"/>
      <c r="AL458" s="198"/>
      <c r="AM458" s="198"/>
      <c r="AN458" s="198"/>
      <c r="AO458" s="198"/>
      <c r="AP458" s="198"/>
      <c r="AQ458" s="198"/>
      <c r="AR458" s="198"/>
      <c r="AS458" s="198"/>
      <c r="AT458" s="198"/>
      <c r="AU458" s="198"/>
      <c r="AV458" s="198"/>
      <c r="AW458" s="198"/>
    </row>
    <row r="459" spans="1:49" x14ac:dyDescent="0.25">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322"/>
      <c r="Y459" s="198"/>
      <c r="Z459" s="198"/>
      <c r="AA459" s="198"/>
      <c r="AB459" s="198"/>
      <c r="AC459" s="198"/>
      <c r="AD459" s="198"/>
      <c r="AE459" s="198"/>
      <c r="AF459" s="198"/>
      <c r="AG459" s="198"/>
      <c r="AH459" s="198"/>
      <c r="AI459" s="198"/>
      <c r="AJ459" s="198"/>
      <c r="AK459" s="198"/>
      <c r="AL459" s="198"/>
      <c r="AM459" s="198"/>
      <c r="AN459" s="198"/>
      <c r="AO459" s="198"/>
      <c r="AP459" s="198"/>
      <c r="AQ459" s="198"/>
      <c r="AR459" s="198"/>
      <c r="AS459" s="198"/>
      <c r="AT459" s="198"/>
      <c r="AU459" s="198"/>
      <c r="AV459" s="198"/>
      <c r="AW459" s="198"/>
    </row>
    <row r="460" spans="1:49" x14ac:dyDescent="0.25">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322"/>
      <c r="Y460" s="198"/>
      <c r="Z460" s="198"/>
      <c r="AA460" s="198"/>
      <c r="AB460" s="198"/>
      <c r="AC460" s="198"/>
      <c r="AD460" s="198"/>
      <c r="AE460" s="198"/>
      <c r="AF460" s="198"/>
      <c r="AG460" s="198"/>
      <c r="AH460" s="198"/>
      <c r="AI460" s="198"/>
      <c r="AJ460" s="198"/>
      <c r="AK460" s="198"/>
      <c r="AL460" s="198"/>
      <c r="AM460" s="198"/>
      <c r="AN460" s="198"/>
      <c r="AO460" s="198"/>
      <c r="AP460" s="198"/>
      <c r="AQ460" s="198"/>
      <c r="AR460" s="198"/>
      <c r="AS460" s="198"/>
      <c r="AT460" s="198"/>
      <c r="AU460" s="198"/>
      <c r="AV460" s="198"/>
      <c r="AW460" s="198"/>
    </row>
    <row r="461" spans="1:49" x14ac:dyDescent="0.25">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322"/>
      <c r="Y461" s="198"/>
      <c r="Z461" s="198"/>
      <c r="AA461" s="198"/>
      <c r="AB461" s="198"/>
      <c r="AC461" s="198"/>
      <c r="AD461" s="198"/>
      <c r="AE461" s="198"/>
      <c r="AF461" s="198"/>
      <c r="AG461" s="198"/>
      <c r="AH461" s="198"/>
      <c r="AI461" s="198"/>
      <c r="AJ461" s="198"/>
      <c r="AK461" s="198"/>
      <c r="AL461" s="198"/>
      <c r="AM461" s="198"/>
      <c r="AN461" s="198"/>
      <c r="AO461" s="198"/>
      <c r="AP461" s="198"/>
      <c r="AQ461" s="198"/>
      <c r="AR461" s="198"/>
      <c r="AS461" s="198"/>
      <c r="AT461" s="198"/>
      <c r="AU461" s="198"/>
      <c r="AV461" s="198"/>
      <c r="AW461" s="198"/>
    </row>
    <row r="462" spans="1:49" x14ac:dyDescent="0.25">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322"/>
      <c r="Y462" s="198"/>
      <c r="Z462" s="198"/>
      <c r="AA462" s="198"/>
      <c r="AB462" s="198"/>
      <c r="AC462" s="198"/>
      <c r="AD462" s="198"/>
      <c r="AE462" s="198"/>
      <c r="AF462" s="198"/>
      <c r="AG462" s="198"/>
      <c r="AH462" s="198"/>
      <c r="AI462" s="198"/>
      <c r="AJ462" s="198"/>
      <c r="AK462" s="198"/>
      <c r="AL462" s="198"/>
      <c r="AM462" s="198"/>
      <c r="AN462" s="198"/>
      <c r="AO462" s="198"/>
      <c r="AP462" s="198"/>
      <c r="AQ462" s="198"/>
      <c r="AR462" s="198"/>
      <c r="AS462" s="198"/>
      <c r="AT462" s="198"/>
      <c r="AU462" s="198"/>
      <c r="AV462" s="198"/>
      <c r="AW462" s="198"/>
    </row>
    <row r="463" spans="1:49" x14ac:dyDescent="0.25">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322"/>
      <c r="Y463" s="198"/>
      <c r="Z463" s="198"/>
      <c r="AA463" s="198"/>
      <c r="AB463" s="198"/>
      <c r="AC463" s="198"/>
      <c r="AD463" s="198"/>
      <c r="AE463" s="198"/>
      <c r="AF463" s="198"/>
      <c r="AG463" s="198"/>
      <c r="AH463" s="198"/>
      <c r="AI463" s="198"/>
      <c r="AJ463" s="198"/>
      <c r="AK463" s="198"/>
      <c r="AL463" s="198"/>
      <c r="AM463" s="198"/>
      <c r="AN463" s="198"/>
      <c r="AO463" s="198"/>
      <c r="AP463" s="198"/>
      <c r="AQ463" s="198"/>
      <c r="AR463" s="198"/>
      <c r="AS463" s="198"/>
      <c r="AT463" s="198"/>
      <c r="AU463" s="198"/>
      <c r="AV463" s="198"/>
      <c r="AW463" s="198"/>
    </row>
    <row r="464" spans="1:49" x14ac:dyDescent="0.25">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322"/>
      <c r="Y464" s="198"/>
      <c r="Z464" s="198"/>
      <c r="AA464" s="198"/>
      <c r="AB464" s="198"/>
      <c r="AC464" s="198"/>
      <c r="AD464" s="198"/>
      <c r="AE464" s="198"/>
      <c r="AF464" s="198"/>
      <c r="AG464" s="198"/>
      <c r="AH464" s="198"/>
      <c r="AI464" s="198"/>
      <c r="AJ464" s="198"/>
      <c r="AK464" s="198"/>
      <c r="AL464" s="198"/>
      <c r="AM464" s="198"/>
      <c r="AN464" s="198"/>
      <c r="AO464" s="198"/>
      <c r="AP464" s="198"/>
      <c r="AQ464" s="198"/>
      <c r="AR464" s="198"/>
      <c r="AS464" s="198"/>
      <c r="AT464" s="198"/>
      <c r="AU464" s="198"/>
      <c r="AV464" s="198"/>
      <c r="AW464" s="198"/>
    </row>
    <row r="465" spans="1:49" x14ac:dyDescent="0.25">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322"/>
      <c r="Y465" s="198"/>
      <c r="Z465" s="198"/>
      <c r="AA465" s="198"/>
      <c r="AB465" s="198"/>
      <c r="AC465" s="198"/>
      <c r="AD465" s="198"/>
      <c r="AE465" s="198"/>
      <c r="AF465" s="198"/>
      <c r="AG465" s="198"/>
      <c r="AH465" s="198"/>
      <c r="AI465" s="198"/>
      <c r="AJ465" s="198"/>
      <c r="AK465" s="198"/>
      <c r="AL465" s="198"/>
      <c r="AM465" s="198"/>
      <c r="AN465" s="198"/>
      <c r="AO465" s="198"/>
      <c r="AP465" s="198"/>
      <c r="AQ465" s="198"/>
      <c r="AR465" s="198"/>
      <c r="AS465" s="198"/>
      <c r="AT465" s="198"/>
      <c r="AU465" s="198"/>
      <c r="AV465" s="198"/>
      <c r="AW465" s="198"/>
    </row>
    <row r="466" spans="1:49" x14ac:dyDescent="0.25">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322"/>
      <c r="Y466" s="198"/>
      <c r="Z466" s="198"/>
      <c r="AA466" s="198"/>
      <c r="AB466" s="198"/>
      <c r="AC466" s="198"/>
      <c r="AD466" s="198"/>
      <c r="AE466" s="198"/>
      <c r="AF466" s="198"/>
      <c r="AG466" s="198"/>
      <c r="AH466" s="198"/>
      <c r="AI466" s="198"/>
      <c r="AJ466" s="198"/>
      <c r="AK466" s="198"/>
      <c r="AL466" s="198"/>
      <c r="AM466" s="198"/>
      <c r="AN466" s="198"/>
      <c r="AO466" s="198"/>
      <c r="AP466" s="198"/>
      <c r="AQ466" s="198"/>
      <c r="AR466" s="198"/>
      <c r="AS466" s="198"/>
      <c r="AT466" s="198"/>
      <c r="AU466" s="198"/>
      <c r="AV466" s="198"/>
      <c r="AW466" s="198"/>
    </row>
    <row r="467" spans="1:49" x14ac:dyDescent="0.25">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322"/>
      <c r="Y467" s="198"/>
      <c r="Z467" s="198"/>
      <c r="AA467" s="198"/>
      <c r="AB467" s="198"/>
      <c r="AC467" s="198"/>
      <c r="AD467" s="198"/>
      <c r="AE467" s="198"/>
      <c r="AF467" s="198"/>
      <c r="AG467" s="198"/>
      <c r="AH467" s="198"/>
      <c r="AI467" s="198"/>
      <c r="AJ467" s="198"/>
      <c r="AK467" s="198"/>
      <c r="AL467" s="198"/>
      <c r="AM467" s="198"/>
      <c r="AN467" s="198"/>
      <c r="AO467" s="198"/>
      <c r="AP467" s="198"/>
      <c r="AQ467" s="198"/>
      <c r="AR467" s="198"/>
      <c r="AS467" s="198"/>
      <c r="AT467" s="198"/>
      <c r="AU467" s="198"/>
      <c r="AV467" s="198"/>
      <c r="AW467" s="198"/>
    </row>
    <row r="468" spans="1:49" x14ac:dyDescent="0.25">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322"/>
      <c r="Y468" s="198"/>
      <c r="Z468" s="198"/>
      <c r="AA468" s="198"/>
      <c r="AB468" s="198"/>
      <c r="AC468" s="198"/>
      <c r="AD468" s="198"/>
      <c r="AE468" s="198"/>
      <c r="AF468" s="198"/>
      <c r="AG468" s="198"/>
      <c r="AH468" s="198"/>
      <c r="AI468" s="198"/>
      <c r="AJ468" s="198"/>
      <c r="AK468" s="198"/>
      <c r="AL468" s="198"/>
      <c r="AM468" s="198"/>
      <c r="AN468" s="198"/>
      <c r="AO468" s="198"/>
      <c r="AP468" s="198"/>
      <c r="AQ468" s="198"/>
      <c r="AR468" s="198"/>
      <c r="AS468" s="198"/>
      <c r="AT468" s="198"/>
      <c r="AU468" s="198"/>
      <c r="AV468" s="198"/>
      <c r="AW468" s="198"/>
    </row>
    <row r="469" spans="1:49" x14ac:dyDescent="0.25">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322"/>
      <c r="Y469" s="198"/>
      <c r="Z469" s="198"/>
      <c r="AA469" s="198"/>
      <c r="AB469" s="198"/>
      <c r="AC469" s="198"/>
      <c r="AD469" s="198"/>
      <c r="AE469" s="198"/>
      <c r="AF469" s="198"/>
      <c r="AG469" s="198"/>
      <c r="AH469" s="198"/>
      <c r="AI469" s="198"/>
      <c r="AJ469" s="198"/>
      <c r="AK469" s="198"/>
      <c r="AL469" s="198"/>
      <c r="AM469" s="198"/>
      <c r="AN469" s="198"/>
      <c r="AO469" s="198"/>
      <c r="AP469" s="198"/>
      <c r="AQ469" s="198"/>
      <c r="AR469" s="198"/>
      <c r="AS469" s="198"/>
      <c r="AT469" s="198"/>
      <c r="AU469" s="198"/>
      <c r="AV469" s="198"/>
      <c r="AW469" s="198"/>
    </row>
    <row r="470" spans="1:49" x14ac:dyDescent="0.25">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322"/>
      <c r="Y470" s="198"/>
      <c r="Z470" s="198"/>
      <c r="AA470" s="198"/>
      <c r="AB470" s="198"/>
      <c r="AC470" s="198"/>
      <c r="AD470" s="198"/>
      <c r="AE470" s="198"/>
      <c r="AF470" s="198"/>
      <c r="AG470" s="198"/>
      <c r="AH470" s="198"/>
      <c r="AI470" s="198"/>
      <c r="AJ470" s="198"/>
      <c r="AK470" s="198"/>
      <c r="AL470" s="198"/>
      <c r="AM470" s="198"/>
      <c r="AN470" s="198"/>
      <c r="AO470" s="198"/>
      <c r="AP470" s="198"/>
      <c r="AQ470" s="198"/>
      <c r="AR470" s="198"/>
      <c r="AS470" s="198"/>
      <c r="AT470" s="198"/>
      <c r="AU470" s="198"/>
      <c r="AV470" s="198"/>
      <c r="AW470" s="198"/>
    </row>
    <row r="471" spans="1:49" x14ac:dyDescent="0.25">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322"/>
      <c r="Y471" s="198"/>
      <c r="Z471" s="198"/>
      <c r="AA471" s="198"/>
      <c r="AB471" s="198"/>
      <c r="AC471" s="198"/>
      <c r="AD471" s="198"/>
      <c r="AE471" s="198"/>
      <c r="AF471" s="198"/>
      <c r="AG471" s="198"/>
      <c r="AH471" s="198"/>
      <c r="AI471" s="198"/>
      <c r="AJ471" s="198"/>
      <c r="AK471" s="198"/>
      <c r="AL471" s="198"/>
      <c r="AM471" s="198"/>
      <c r="AN471" s="198"/>
      <c r="AO471" s="198"/>
      <c r="AP471" s="198"/>
      <c r="AQ471" s="198"/>
      <c r="AR471" s="198"/>
      <c r="AS471" s="198"/>
      <c r="AT471" s="198"/>
      <c r="AU471" s="198"/>
      <c r="AV471" s="198"/>
      <c r="AW471" s="198"/>
    </row>
    <row r="472" spans="1:49" x14ac:dyDescent="0.25">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322"/>
      <c r="Y472" s="198"/>
      <c r="Z472" s="198"/>
      <c r="AA472" s="198"/>
      <c r="AB472" s="198"/>
      <c r="AC472" s="198"/>
      <c r="AD472" s="198"/>
      <c r="AE472" s="198"/>
      <c r="AF472" s="198"/>
      <c r="AG472" s="198"/>
      <c r="AH472" s="198"/>
      <c r="AI472" s="198"/>
      <c r="AJ472" s="198"/>
      <c r="AK472" s="198"/>
      <c r="AL472" s="198"/>
      <c r="AM472" s="198"/>
      <c r="AN472" s="198"/>
      <c r="AO472" s="198"/>
      <c r="AP472" s="198"/>
      <c r="AQ472" s="198"/>
      <c r="AR472" s="198"/>
      <c r="AS472" s="198"/>
      <c r="AT472" s="198"/>
      <c r="AU472" s="198"/>
      <c r="AV472" s="198"/>
      <c r="AW472" s="198"/>
    </row>
    <row r="473" spans="1:49" x14ac:dyDescent="0.25">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322"/>
      <c r="Y473" s="198"/>
      <c r="Z473" s="198"/>
      <c r="AA473" s="198"/>
      <c r="AB473" s="198"/>
      <c r="AC473" s="198"/>
      <c r="AD473" s="198"/>
      <c r="AE473" s="198"/>
      <c r="AF473" s="198"/>
      <c r="AG473" s="198"/>
      <c r="AH473" s="198"/>
      <c r="AI473" s="198"/>
      <c r="AJ473" s="198"/>
      <c r="AK473" s="198"/>
      <c r="AL473" s="198"/>
      <c r="AM473" s="198"/>
      <c r="AN473" s="198"/>
      <c r="AO473" s="198"/>
      <c r="AP473" s="198"/>
      <c r="AQ473" s="198"/>
      <c r="AR473" s="198"/>
      <c r="AS473" s="198"/>
      <c r="AT473" s="198"/>
      <c r="AU473" s="198"/>
      <c r="AV473" s="198"/>
      <c r="AW473" s="198"/>
    </row>
    <row r="474" spans="1:49" x14ac:dyDescent="0.25">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322"/>
      <c r="Y474" s="198"/>
      <c r="Z474" s="198"/>
      <c r="AA474" s="198"/>
      <c r="AB474" s="198"/>
      <c r="AC474" s="198"/>
      <c r="AD474" s="198"/>
      <c r="AE474" s="198"/>
      <c r="AF474" s="198"/>
      <c r="AG474" s="198"/>
      <c r="AH474" s="198"/>
      <c r="AI474" s="198"/>
      <c r="AJ474" s="198"/>
      <c r="AK474" s="198"/>
      <c r="AL474" s="198"/>
      <c r="AM474" s="198"/>
      <c r="AN474" s="198"/>
      <c r="AO474" s="198"/>
      <c r="AP474" s="198"/>
      <c r="AQ474" s="198"/>
      <c r="AR474" s="198"/>
      <c r="AS474" s="198"/>
      <c r="AT474" s="198"/>
      <c r="AU474" s="198"/>
      <c r="AV474" s="198"/>
      <c r="AW474" s="198"/>
    </row>
    <row r="475" spans="1:49" x14ac:dyDescent="0.25">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322"/>
      <c r="Y475" s="198"/>
      <c r="Z475" s="198"/>
      <c r="AA475" s="198"/>
      <c r="AB475" s="198"/>
      <c r="AC475" s="198"/>
      <c r="AD475" s="198"/>
      <c r="AE475" s="198"/>
      <c r="AF475" s="198"/>
      <c r="AG475" s="198"/>
      <c r="AH475" s="198"/>
      <c r="AI475" s="198"/>
      <c r="AJ475" s="198"/>
      <c r="AK475" s="198"/>
      <c r="AL475" s="198"/>
      <c r="AM475" s="198"/>
      <c r="AN475" s="198"/>
      <c r="AO475" s="198"/>
      <c r="AP475" s="198"/>
      <c r="AQ475" s="198"/>
      <c r="AR475" s="198"/>
      <c r="AS475" s="198"/>
      <c r="AT475" s="198"/>
      <c r="AU475" s="198"/>
      <c r="AV475" s="198"/>
      <c r="AW475" s="198"/>
    </row>
    <row r="476" spans="1:49" x14ac:dyDescent="0.25">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322"/>
      <c r="Y476" s="198"/>
      <c r="Z476" s="198"/>
      <c r="AA476" s="198"/>
      <c r="AB476" s="198"/>
      <c r="AC476" s="198"/>
      <c r="AD476" s="198"/>
      <c r="AE476" s="198"/>
      <c r="AF476" s="198"/>
      <c r="AG476" s="198"/>
      <c r="AH476" s="198"/>
      <c r="AI476" s="198"/>
      <c r="AJ476" s="198"/>
      <c r="AK476" s="198"/>
      <c r="AL476" s="198"/>
      <c r="AM476" s="198"/>
      <c r="AN476" s="198"/>
      <c r="AO476" s="198"/>
      <c r="AP476" s="198"/>
      <c r="AQ476" s="198"/>
      <c r="AR476" s="198"/>
      <c r="AS476" s="198"/>
      <c r="AT476" s="198"/>
      <c r="AU476" s="198"/>
      <c r="AV476" s="198"/>
      <c r="AW476" s="198"/>
    </row>
    <row r="477" spans="1:49" x14ac:dyDescent="0.25">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322"/>
      <c r="Y477" s="198"/>
      <c r="Z477" s="198"/>
      <c r="AA477" s="198"/>
      <c r="AB477" s="198"/>
      <c r="AC477" s="198"/>
      <c r="AD477" s="198"/>
      <c r="AE477" s="198"/>
      <c r="AF477" s="198"/>
      <c r="AG477" s="198"/>
      <c r="AH477" s="198"/>
      <c r="AI477" s="198"/>
      <c r="AJ477" s="198"/>
      <c r="AK477" s="198"/>
      <c r="AL477" s="198"/>
      <c r="AM477" s="198"/>
      <c r="AN477" s="198"/>
      <c r="AO477" s="198"/>
      <c r="AP477" s="198"/>
      <c r="AQ477" s="198"/>
      <c r="AR477" s="198"/>
      <c r="AS477" s="198"/>
      <c r="AT477" s="198"/>
      <c r="AU477" s="198"/>
      <c r="AV477" s="198"/>
      <c r="AW477" s="198"/>
    </row>
    <row r="478" spans="1:49" x14ac:dyDescent="0.25">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322"/>
      <c r="Y478" s="198"/>
      <c r="Z478" s="198"/>
      <c r="AA478" s="198"/>
      <c r="AB478" s="198"/>
      <c r="AC478" s="198"/>
      <c r="AD478" s="198"/>
      <c r="AE478" s="198"/>
      <c r="AF478" s="198"/>
      <c r="AG478" s="198"/>
      <c r="AH478" s="198"/>
      <c r="AI478" s="198"/>
      <c r="AJ478" s="198"/>
      <c r="AK478" s="198"/>
      <c r="AL478" s="198"/>
      <c r="AM478" s="198"/>
      <c r="AN478" s="198"/>
      <c r="AO478" s="198"/>
      <c r="AP478" s="198"/>
      <c r="AQ478" s="198"/>
      <c r="AR478" s="198"/>
      <c r="AS478" s="198"/>
      <c r="AT478" s="198"/>
      <c r="AU478" s="198"/>
      <c r="AV478" s="198"/>
      <c r="AW478" s="198"/>
    </row>
    <row r="479" spans="1:49" x14ac:dyDescent="0.25">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322"/>
      <c r="Y479" s="198"/>
      <c r="Z479" s="198"/>
      <c r="AA479" s="198"/>
      <c r="AB479" s="198"/>
      <c r="AC479" s="198"/>
      <c r="AD479" s="198"/>
      <c r="AE479" s="198"/>
      <c r="AF479" s="198"/>
      <c r="AG479" s="198"/>
      <c r="AH479" s="198"/>
      <c r="AI479" s="198"/>
      <c r="AJ479" s="198"/>
      <c r="AK479" s="198"/>
      <c r="AL479" s="198"/>
      <c r="AM479" s="198"/>
      <c r="AN479" s="198"/>
      <c r="AO479" s="198"/>
      <c r="AP479" s="198"/>
      <c r="AQ479" s="198"/>
      <c r="AR479" s="198"/>
      <c r="AS479" s="198"/>
      <c r="AT479" s="198"/>
      <c r="AU479" s="198"/>
      <c r="AV479" s="198"/>
      <c r="AW479" s="198"/>
    </row>
    <row r="480" spans="1:49" x14ac:dyDescent="0.25">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322"/>
      <c r="Y480" s="198"/>
      <c r="Z480" s="198"/>
      <c r="AA480" s="198"/>
      <c r="AB480" s="198"/>
      <c r="AC480" s="198"/>
      <c r="AD480" s="198"/>
      <c r="AE480" s="198"/>
      <c r="AF480" s="198"/>
      <c r="AG480" s="198"/>
      <c r="AH480" s="198"/>
      <c r="AI480" s="198"/>
      <c r="AJ480" s="198"/>
      <c r="AK480" s="198"/>
      <c r="AL480" s="198"/>
      <c r="AM480" s="198"/>
      <c r="AN480" s="198"/>
      <c r="AO480" s="198"/>
      <c r="AP480" s="198"/>
      <c r="AQ480" s="198"/>
      <c r="AR480" s="198"/>
      <c r="AS480" s="198"/>
      <c r="AT480" s="198"/>
      <c r="AU480" s="198"/>
      <c r="AV480" s="198"/>
      <c r="AW480" s="198"/>
    </row>
    <row r="481" spans="1:49" x14ac:dyDescent="0.25">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322"/>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row>
    <row r="482" spans="1:49" x14ac:dyDescent="0.25">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322"/>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row>
    <row r="483" spans="1:49" x14ac:dyDescent="0.25">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322"/>
      <c r="Y483" s="198"/>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row>
    <row r="484" spans="1:49" x14ac:dyDescent="0.25">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322"/>
      <c r="Y484" s="198"/>
      <c r="Z484" s="198"/>
      <c r="AA484" s="198"/>
      <c r="AB484" s="198"/>
      <c r="AC484" s="198"/>
      <c r="AD484" s="198"/>
      <c r="AE484" s="198"/>
      <c r="AF484" s="198"/>
      <c r="AG484" s="198"/>
      <c r="AH484" s="198"/>
      <c r="AI484" s="198"/>
      <c r="AJ484" s="198"/>
      <c r="AK484" s="198"/>
      <c r="AL484" s="198"/>
      <c r="AM484" s="198"/>
      <c r="AN484" s="198"/>
      <c r="AO484" s="198"/>
      <c r="AP484" s="198"/>
      <c r="AQ484" s="198"/>
      <c r="AR484" s="198"/>
      <c r="AS484" s="198"/>
      <c r="AT484" s="198"/>
      <c r="AU484" s="198"/>
      <c r="AV484" s="198"/>
      <c r="AW484" s="198"/>
    </row>
    <row r="485" spans="1:49" x14ac:dyDescent="0.25">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322"/>
      <c r="Y485" s="198"/>
      <c r="Z485" s="198"/>
      <c r="AA485" s="198"/>
      <c r="AB485" s="198"/>
      <c r="AC485" s="198"/>
      <c r="AD485" s="198"/>
      <c r="AE485" s="198"/>
      <c r="AF485" s="198"/>
      <c r="AG485" s="198"/>
      <c r="AH485" s="198"/>
      <c r="AI485" s="198"/>
      <c r="AJ485" s="198"/>
      <c r="AK485" s="198"/>
      <c r="AL485" s="198"/>
      <c r="AM485" s="198"/>
      <c r="AN485" s="198"/>
      <c r="AO485" s="198"/>
      <c r="AP485" s="198"/>
      <c r="AQ485" s="198"/>
      <c r="AR485" s="198"/>
      <c r="AS485" s="198"/>
      <c r="AT485" s="198"/>
      <c r="AU485" s="198"/>
      <c r="AV485" s="198"/>
      <c r="AW485" s="198"/>
    </row>
    <row r="486" spans="1:49" x14ac:dyDescent="0.25">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322"/>
      <c r="Y486" s="198"/>
      <c r="Z486" s="198"/>
      <c r="AA486" s="198"/>
      <c r="AB486" s="198"/>
      <c r="AC486" s="198"/>
      <c r="AD486" s="198"/>
      <c r="AE486" s="198"/>
      <c r="AF486" s="198"/>
      <c r="AG486" s="198"/>
      <c r="AH486" s="198"/>
      <c r="AI486" s="198"/>
      <c r="AJ486" s="198"/>
      <c r="AK486" s="198"/>
      <c r="AL486" s="198"/>
      <c r="AM486" s="198"/>
      <c r="AN486" s="198"/>
      <c r="AO486" s="198"/>
      <c r="AP486" s="198"/>
      <c r="AQ486" s="198"/>
      <c r="AR486" s="198"/>
      <c r="AS486" s="198"/>
      <c r="AT486" s="198"/>
      <c r="AU486" s="198"/>
      <c r="AV486" s="198"/>
      <c r="AW486" s="198"/>
    </row>
    <row r="487" spans="1:49" x14ac:dyDescent="0.25">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322"/>
      <c r="Y487" s="198"/>
      <c r="Z487" s="198"/>
      <c r="AA487" s="198"/>
      <c r="AB487" s="198"/>
      <c r="AC487" s="198"/>
      <c r="AD487" s="198"/>
      <c r="AE487" s="198"/>
      <c r="AF487" s="198"/>
      <c r="AG487" s="198"/>
      <c r="AH487" s="198"/>
      <c r="AI487" s="198"/>
      <c r="AJ487" s="198"/>
      <c r="AK487" s="198"/>
      <c r="AL487" s="198"/>
      <c r="AM487" s="198"/>
      <c r="AN487" s="198"/>
      <c r="AO487" s="198"/>
      <c r="AP487" s="198"/>
      <c r="AQ487" s="198"/>
      <c r="AR487" s="198"/>
      <c r="AS487" s="198"/>
      <c r="AT487" s="198"/>
      <c r="AU487" s="198"/>
      <c r="AV487" s="198"/>
      <c r="AW487" s="198"/>
    </row>
    <row r="488" spans="1:49" x14ac:dyDescent="0.25">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322"/>
      <c r="Y488" s="198"/>
      <c r="Z488" s="198"/>
      <c r="AA488" s="198"/>
      <c r="AB488" s="198"/>
      <c r="AC488" s="198"/>
      <c r="AD488" s="198"/>
      <c r="AE488" s="198"/>
      <c r="AF488" s="198"/>
      <c r="AG488" s="198"/>
      <c r="AH488" s="198"/>
      <c r="AI488" s="198"/>
      <c r="AJ488" s="198"/>
      <c r="AK488" s="198"/>
      <c r="AL488" s="198"/>
      <c r="AM488" s="198"/>
      <c r="AN488" s="198"/>
      <c r="AO488" s="198"/>
      <c r="AP488" s="198"/>
      <c r="AQ488" s="198"/>
      <c r="AR488" s="198"/>
      <c r="AS488" s="198"/>
      <c r="AT488" s="198"/>
      <c r="AU488" s="198"/>
      <c r="AV488" s="198"/>
      <c r="AW488" s="198"/>
    </row>
    <row r="489" spans="1:49" x14ac:dyDescent="0.25">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322"/>
      <c r="Y489" s="198"/>
      <c r="Z489" s="198"/>
      <c r="AA489" s="198"/>
      <c r="AB489" s="198"/>
      <c r="AC489" s="198"/>
      <c r="AD489" s="198"/>
      <c r="AE489" s="198"/>
      <c r="AF489" s="198"/>
      <c r="AG489" s="198"/>
      <c r="AH489" s="198"/>
      <c r="AI489" s="198"/>
      <c r="AJ489" s="198"/>
      <c r="AK489" s="198"/>
      <c r="AL489" s="198"/>
      <c r="AM489" s="198"/>
      <c r="AN489" s="198"/>
      <c r="AO489" s="198"/>
      <c r="AP489" s="198"/>
      <c r="AQ489" s="198"/>
      <c r="AR489" s="198"/>
      <c r="AS489" s="198"/>
      <c r="AT489" s="198"/>
      <c r="AU489" s="198"/>
      <c r="AV489" s="198"/>
      <c r="AW489" s="198"/>
    </row>
    <row r="490" spans="1:49" x14ac:dyDescent="0.25">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322"/>
      <c r="Y490" s="198"/>
      <c r="Z490" s="198"/>
      <c r="AA490" s="198"/>
      <c r="AB490" s="198"/>
      <c r="AC490" s="198"/>
      <c r="AD490" s="198"/>
      <c r="AE490" s="198"/>
      <c r="AF490" s="198"/>
      <c r="AG490" s="198"/>
      <c r="AH490" s="198"/>
      <c r="AI490" s="198"/>
      <c r="AJ490" s="198"/>
      <c r="AK490" s="198"/>
      <c r="AL490" s="198"/>
      <c r="AM490" s="198"/>
      <c r="AN490" s="198"/>
      <c r="AO490" s="198"/>
      <c r="AP490" s="198"/>
      <c r="AQ490" s="198"/>
      <c r="AR490" s="198"/>
      <c r="AS490" s="198"/>
      <c r="AT490" s="198"/>
      <c r="AU490" s="198"/>
      <c r="AV490" s="198"/>
      <c r="AW490" s="198"/>
    </row>
    <row r="491" spans="1:49" x14ac:dyDescent="0.25">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322"/>
      <c r="Y491" s="198"/>
      <c r="Z491" s="198"/>
      <c r="AA491" s="198"/>
      <c r="AB491" s="198"/>
      <c r="AC491" s="198"/>
      <c r="AD491" s="198"/>
      <c r="AE491" s="198"/>
      <c r="AF491" s="198"/>
      <c r="AG491" s="198"/>
      <c r="AH491" s="198"/>
      <c r="AI491" s="198"/>
      <c r="AJ491" s="198"/>
      <c r="AK491" s="198"/>
      <c r="AL491" s="198"/>
      <c r="AM491" s="198"/>
      <c r="AN491" s="198"/>
      <c r="AO491" s="198"/>
      <c r="AP491" s="198"/>
      <c r="AQ491" s="198"/>
      <c r="AR491" s="198"/>
      <c r="AS491" s="198"/>
      <c r="AT491" s="198"/>
      <c r="AU491" s="198"/>
      <c r="AV491" s="198"/>
      <c r="AW491" s="198"/>
    </row>
    <row r="492" spans="1:49" x14ac:dyDescent="0.25">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322"/>
      <c r="Y492" s="198"/>
      <c r="Z492" s="198"/>
      <c r="AA492" s="198"/>
      <c r="AB492" s="198"/>
      <c r="AC492" s="198"/>
      <c r="AD492" s="198"/>
      <c r="AE492" s="198"/>
      <c r="AF492" s="198"/>
      <c r="AG492" s="198"/>
      <c r="AH492" s="198"/>
      <c r="AI492" s="198"/>
      <c r="AJ492" s="198"/>
      <c r="AK492" s="198"/>
      <c r="AL492" s="198"/>
      <c r="AM492" s="198"/>
      <c r="AN492" s="198"/>
      <c r="AO492" s="198"/>
      <c r="AP492" s="198"/>
      <c r="AQ492" s="198"/>
      <c r="AR492" s="198"/>
      <c r="AS492" s="198"/>
      <c r="AT492" s="198"/>
      <c r="AU492" s="198"/>
      <c r="AV492" s="198"/>
      <c r="AW492" s="198"/>
    </row>
    <row r="493" spans="1:49" x14ac:dyDescent="0.25">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322"/>
      <c r="Y493" s="198"/>
      <c r="Z493" s="198"/>
      <c r="AA493" s="198"/>
      <c r="AB493" s="198"/>
      <c r="AC493" s="198"/>
      <c r="AD493" s="198"/>
      <c r="AE493" s="198"/>
      <c r="AF493" s="198"/>
      <c r="AG493" s="198"/>
      <c r="AH493" s="198"/>
      <c r="AI493" s="198"/>
      <c r="AJ493" s="198"/>
      <c r="AK493" s="198"/>
      <c r="AL493" s="198"/>
      <c r="AM493" s="198"/>
      <c r="AN493" s="198"/>
      <c r="AO493" s="198"/>
      <c r="AP493" s="198"/>
      <c r="AQ493" s="198"/>
      <c r="AR493" s="198"/>
      <c r="AS493" s="198"/>
      <c r="AT493" s="198"/>
      <c r="AU493" s="198"/>
      <c r="AV493" s="198"/>
      <c r="AW493" s="198"/>
    </row>
    <row r="494" spans="1:49" x14ac:dyDescent="0.25">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322"/>
      <c r="Y494" s="198"/>
      <c r="Z494" s="198"/>
      <c r="AA494" s="198"/>
      <c r="AB494" s="198"/>
      <c r="AC494" s="198"/>
      <c r="AD494" s="198"/>
      <c r="AE494" s="198"/>
      <c r="AF494" s="198"/>
      <c r="AG494" s="198"/>
      <c r="AH494" s="198"/>
      <c r="AI494" s="198"/>
      <c r="AJ494" s="198"/>
      <c r="AK494" s="198"/>
      <c r="AL494" s="198"/>
      <c r="AM494" s="198"/>
      <c r="AN494" s="198"/>
      <c r="AO494" s="198"/>
      <c r="AP494" s="198"/>
      <c r="AQ494" s="198"/>
      <c r="AR494" s="198"/>
      <c r="AS494" s="198"/>
      <c r="AT494" s="198"/>
      <c r="AU494" s="198"/>
      <c r="AV494" s="198"/>
      <c r="AW494" s="198"/>
    </row>
    <row r="495" spans="1:49" x14ac:dyDescent="0.25">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322"/>
      <c r="Y495" s="198"/>
      <c r="Z495" s="198"/>
      <c r="AA495" s="198"/>
      <c r="AB495" s="198"/>
      <c r="AC495" s="198"/>
      <c r="AD495" s="198"/>
      <c r="AE495" s="198"/>
      <c r="AF495" s="198"/>
      <c r="AG495" s="198"/>
      <c r="AH495" s="198"/>
      <c r="AI495" s="198"/>
      <c r="AJ495" s="198"/>
      <c r="AK495" s="198"/>
      <c r="AL495" s="198"/>
      <c r="AM495" s="198"/>
      <c r="AN495" s="198"/>
      <c r="AO495" s="198"/>
      <c r="AP495" s="198"/>
      <c r="AQ495" s="198"/>
      <c r="AR495" s="198"/>
      <c r="AS495" s="198"/>
      <c r="AT495" s="198"/>
      <c r="AU495" s="198"/>
      <c r="AV495" s="198"/>
      <c r="AW495" s="198"/>
    </row>
    <row r="496" spans="1:49" x14ac:dyDescent="0.25">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322"/>
      <c r="Y496" s="198"/>
      <c r="Z496" s="198"/>
      <c r="AA496" s="198"/>
      <c r="AB496" s="198"/>
      <c r="AC496" s="198"/>
      <c r="AD496" s="198"/>
      <c r="AE496" s="198"/>
      <c r="AF496" s="198"/>
      <c r="AG496" s="198"/>
      <c r="AH496" s="198"/>
      <c r="AI496" s="198"/>
      <c r="AJ496" s="198"/>
      <c r="AK496" s="198"/>
      <c r="AL496" s="198"/>
      <c r="AM496" s="198"/>
      <c r="AN496" s="198"/>
      <c r="AO496" s="198"/>
      <c r="AP496" s="198"/>
      <c r="AQ496" s="198"/>
      <c r="AR496" s="198"/>
      <c r="AS496" s="198"/>
      <c r="AT496" s="198"/>
      <c r="AU496" s="198"/>
      <c r="AV496" s="198"/>
      <c r="AW496" s="198"/>
    </row>
    <row r="497" spans="1:49" x14ac:dyDescent="0.25">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322"/>
      <c r="Y497" s="198"/>
      <c r="Z497" s="198"/>
      <c r="AA497" s="198"/>
      <c r="AB497" s="198"/>
      <c r="AC497" s="198"/>
      <c r="AD497" s="198"/>
      <c r="AE497" s="198"/>
      <c r="AF497" s="198"/>
      <c r="AG497" s="198"/>
      <c r="AH497" s="198"/>
      <c r="AI497" s="198"/>
      <c r="AJ497" s="198"/>
      <c r="AK497" s="198"/>
      <c r="AL497" s="198"/>
      <c r="AM497" s="198"/>
      <c r="AN497" s="198"/>
      <c r="AO497" s="198"/>
      <c r="AP497" s="198"/>
      <c r="AQ497" s="198"/>
      <c r="AR497" s="198"/>
      <c r="AS497" s="198"/>
      <c r="AT497" s="198"/>
      <c r="AU497" s="198"/>
      <c r="AV497" s="198"/>
      <c r="AW497" s="198"/>
    </row>
    <row r="498" spans="1:49" x14ac:dyDescent="0.25">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322"/>
      <c r="Y498" s="198"/>
      <c r="Z498" s="198"/>
      <c r="AA498" s="198"/>
      <c r="AB498" s="198"/>
      <c r="AC498" s="198"/>
      <c r="AD498" s="198"/>
      <c r="AE498" s="198"/>
      <c r="AF498" s="198"/>
      <c r="AG498" s="198"/>
      <c r="AH498" s="198"/>
      <c r="AI498" s="198"/>
      <c r="AJ498" s="198"/>
      <c r="AK498" s="198"/>
      <c r="AL498" s="198"/>
      <c r="AM498" s="198"/>
      <c r="AN498" s="198"/>
      <c r="AO498" s="198"/>
      <c r="AP498" s="198"/>
      <c r="AQ498" s="198"/>
      <c r="AR498" s="198"/>
      <c r="AS498" s="198"/>
      <c r="AT498" s="198"/>
      <c r="AU498" s="198"/>
      <c r="AV498" s="198"/>
      <c r="AW498" s="198"/>
    </row>
    <row r="499" spans="1:49" x14ac:dyDescent="0.25">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322"/>
      <c r="Y499" s="198"/>
      <c r="Z499" s="198"/>
      <c r="AA499" s="198"/>
      <c r="AB499" s="198"/>
      <c r="AC499" s="198"/>
      <c r="AD499" s="198"/>
      <c r="AE499" s="198"/>
      <c r="AF499" s="198"/>
      <c r="AG499" s="198"/>
      <c r="AH499" s="198"/>
      <c r="AI499" s="198"/>
      <c r="AJ499" s="198"/>
      <c r="AK499" s="198"/>
      <c r="AL499" s="198"/>
      <c r="AM499" s="198"/>
      <c r="AN499" s="198"/>
      <c r="AO499" s="198"/>
      <c r="AP499" s="198"/>
      <c r="AQ499" s="198"/>
      <c r="AR499" s="198"/>
      <c r="AS499" s="198"/>
      <c r="AT499" s="198"/>
      <c r="AU499" s="198"/>
      <c r="AV499" s="198"/>
      <c r="AW499" s="198"/>
    </row>
    <row r="500" spans="1:49" x14ac:dyDescent="0.25">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322"/>
      <c r="Y500" s="198"/>
      <c r="Z500" s="198"/>
      <c r="AA500" s="198"/>
      <c r="AB500" s="198"/>
      <c r="AC500" s="198"/>
      <c r="AD500" s="198"/>
      <c r="AE500" s="198"/>
      <c r="AF500" s="198"/>
      <c r="AG500" s="198"/>
      <c r="AH500" s="198"/>
      <c r="AI500" s="198"/>
      <c r="AJ500" s="198"/>
      <c r="AK500" s="198"/>
      <c r="AL500" s="198"/>
      <c r="AM500" s="198"/>
      <c r="AN500" s="198"/>
      <c r="AO500" s="198"/>
      <c r="AP500" s="198"/>
      <c r="AQ500" s="198"/>
      <c r="AR500" s="198"/>
      <c r="AS500" s="198"/>
      <c r="AT500" s="198"/>
      <c r="AU500" s="198"/>
      <c r="AV500" s="198"/>
      <c r="AW500" s="198"/>
    </row>
    <row r="501" spans="1:49" x14ac:dyDescent="0.25">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322"/>
      <c r="Y501" s="198"/>
      <c r="Z501" s="198"/>
      <c r="AA501" s="198"/>
      <c r="AB501" s="198"/>
      <c r="AC501" s="198"/>
      <c r="AD501" s="198"/>
      <c r="AE501" s="198"/>
      <c r="AF501" s="198"/>
      <c r="AG501" s="198"/>
      <c r="AH501" s="198"/>
      <c r="AI501" s="198"/>
      <c r="AJ501" s="198"/>
      <c r="AK501" s="198"/>
      <c r="AL501" s="198"/>
      <c r="AM501" s="198"/>
      <c r="AN501" s="198"/>
      <c r="AO501" s="198"/>
      <c r="AP501" s="198"/>
      <c r="AQ501" s="198"/>
      <c r="AR501" s="198"/>
      <c r="AS501" s="198"/>
      <c r="AT501" s="198"/>
      <c r="AU501" s="198"/>
      <c r="AV501" s="198"/>
      <c r="AW501" s="198"/>
    </row>
    <row r="502" spans="1:49" x14ac:dyDescent="0.25">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322"/>
      <c r="Y502" s="198"/>
      <c r="Z502" s="198"/>
      <c r="AA502" s="198"/>
      <c r="AB502" s="198"/>
      <c r="AC502" s="198"/>
      <c r="AD502" s="198"/>
      <c r="AE502" s="198"/>
      <c r="AF502" s="198"/>
      <c r="AG502" s="198"/>
      <c r="AH502" s="198"/>
      <c r="AI502" s="198"/>
      <c r="AJ502" s="198"/>
      <c r="AK502" s="198"/>
      <c r="AL502" s="198"/>
      <c r="AM502" s="198"/>
      <c r="AN502" s="198"/>
      <c r="AO502" s="198"/>
      <c r="AP502" s="198"/>
      <c r="AQ502" s="198"/>
      <c r="AR502" s="198"/>
      <c r="AS502" s="198"/>
      <c r="AT502" s="198"/>
      <c r="AU502" s="198"/>
      <c r="AV502" s="198"/>
      <c r="AW502" s="198"/>
    </row>
    <row r="503" spans="1:49" x14ac:dyDescent="0.25">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322"/>
      <c r="Y503" s="198"/>
      <c r="Z503" s="198"/>
      <c r="AA503" s="198"/>
      <c r="AB503" s="198"/>
      <c r="AC503" s="198"/>
      <c r="AD503" s="198"/>
      <c r="AE503" s="198"/>
      <c r="AF503" s="198"/>
      <c r="AG503" s="198"/>
      <c r="AH503" s="198"/>
      <c r="AI503" s="198"/>
      <c r="AJ503" s="198"/>
      <c r="AK503" s="198"/>
      <c r="AL503" s="198"/>
      <c r="AM503" s="198"/>
      <c r="AN503" s="198"/>
      <c r="AO503" s="198"/>
      <c r="AP503" s="198"/>
      <c r="AQ503" s="198"/>
      <c r="AR503" s="198"/>
      <c r="AS503" s="198"/>
      <c r="AT503" s="198"/>
      <c r="AU503" s="198"/>
      <c r="AV503" s="198"/>
      <c r="AW503" s="198"/>
    </row>
    <row r="504" spans="1:49" x14ac:dyDescent="0.25">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322"/>
      <c r="Y504" s="198"/>
      <c r="Z504" s="198"/>
      <c r="AA504" s="198"/>
      <c r="AB504" s="198"/>
      <c r="AC504" s="198"/>
      <c r="AD504" s="198"/>
      <c r="AE504" s="198"/>
      <c r="AF504" s="198"/>
      <c r="AG504" s="198"/>
      <c r="AH504" s="198"/>
      <c r="AI504" s="198"/>
      <c r="AJ504" s="198"/>
      <c r="AK504" s="198"/>
      <c r="AL504" s="198"/>
      <c r="AM504" s="198"/>
      <c r="AN504" s="198"/>
      <c r="AO504" s="198"/>
      <c r="AP504" s="198"/>
      <c r="AQ504" s="198"/>
      <c r="AR504" s="198"/>
      <c r="AS504" s="198"/>
      <c r="AT504" s="198"/>
      <c r="AU504" s="198"/>
      <c r="AV504" s="198"/>
      <c r="AW504" s="198"/>
    </row>
    <row r="505" spans="1:49" x14ac:dyDescent="0.25">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322"/>
      <c r="Y505" s="198"/>
      <c r="Z505" s="198"/>
      <c r="AA505" s="198"/>
      <c r="AB505" s="198"/>
      <c r="AC505" s="198"/>
      <c r="AD505" s="198"/>
      <c r="AE505" s="198"/>
      <c r="AF505" s="198"/>
      <c r="AG505" s="198"/>
      <c r="AH505" s="198"/>
      <c r="AI505" s="198"/>
      <c r="AJ505" s="198"/>
      <c r="AK505" s="198"/>
      <c r="AL505" s="198"/>
      <c r="AM505" s="198"/>
      <c r="AN505" s="198"/>
      <c r="AO505" s="198"/>
      <c r="AP505" s="198"/>
      <c r="AQ505" s="198"/>
      <c r="AR505" s="198"/>
      <c r="AS505" s="198"/>
      <c r="AT505" s="198"/>
      <c r="AU505" s="198"/>
      <c r="AV505" s="198"/>
      <c r="AW505" s="198"/>
    </row>
    <row r="506" spans="1:49" x14ac:dyDescent="0.25">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322"/>
      <c r="Y506" s="198"/>
      <c r="Z506" s="198"/>
      <c r="AA506" s="198"/>
      <c r="AB506" s="198"/>
      <c r="AC506" s="198"/>
      <c r="AD506" s="198"/>
      <c r="AE506" s="198"/>
      <c r="AF506" s="198"/>
      <c r="AG506" s="198"/>
      <c r="AH506" s="198"/>
      <c r="AI506" s="198"/>
      <c r="AJ506" s="198"/>
      <c r="AK506" s="198"/>
      <c r="AL506" s="198"/>
      <c r="AM506" s="198"/>
      <c r="AN506" s="198"/>
      <c r="AO506" s="198"/>
      <c r="AP506" s="198"/>
      <c r="AQ506" s="198"/>
      <c r="AR506" s="198"/>
      <c r="AS506" s="198"/>
      <c r="AT506" s="198"/>
      <c r="AU506" s="198"/>
      <c r="AV506" s="198"/>
      <c r="AW506" s="198"/>
    </row>
    <row r="507" spans="1:49" x14ac:dyDescent="0.25">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322"/>
      <c r="Y507" s="198"/>
      <c r="Z507" s="198"/>
      <c r="AA507" s="198"/>
      <c r="AB507" s="198"/>
      <c r="AC507" s="198"/>
      <c r="AD507" s="198"/>
      <c r="AE507" s="198"/>
      <c r="AF507" s="198"/>
      <c r="AG507" s="198"/>
      <c r="AH507" s="198"/>
      <c r="AI507" s="198"/>
      <c r="AJ507" s="198"/>
      <c r="AK507" s="198"/>
      <c r="AL507" s="198"/>
      <c r="AM507" s="198"/>
      <c r="AN507" s="198"/>
      <c r="AO507" s="198"/>
      <c r="AP507" s="198"/>
      <c r="AQ507" s="198"/>
      <c r="AR507" s="198"/>
      <c r="AS507" s="198"/>
      <c r="AT507" s="198"/>
      <c r="AU507" s="198"/>
      <c r="AV507" s="198"/>
      <c r="AW507" s="198"/>
    </row>
    <row r="508" spans="1:49" x14ac:dyDescent="0.25">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322"/>
      <c r="Y508" s="198"/>
      <c r="Z508" s="198"/>
      <c r="AA508" s="198"/>
      <c r="AB508" s="198"/>
      <c r="AC508" s="198"/>
      <c r="AD508" s="198"/>
      <c r="AE508" s="198"/>
      <c r="AF508" s="198"/>
      <c r="AG508" s="198"/>
      <c r="AH508" s="198"/>
      <c r="AI508" s="198"/>
      <c r="AJ508" s="198"/>
      <c r="AK508" s="198"/>
      <c r="AL508" s="198"/>
      <c r="AM508" s="198"/>
      <c r="AN508" s="198"/>
      <c r="AO508" s="198"/>
      <c r="AP508" s="198"/>
      <c r="AQ508" s="198"/>
      <c r="AR508" s="198"/>
      <c r="AS508" s="198"/>
      <c r="AT508" s="198"/>
      <c r="AU508" s="198"/>
      <c r="AV508" s="198"/>
      <c r="AW508" s="198"/>
    </row>
    <row r="509" spans="1:49" x14ac:dyDescent="0.25">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322"/>
      <c r="Y509" s="198"/>
      <c r="Z509" s="198"/>
      <c r="AA509" s="198"/>
      <c r="AB509" s="198"/>
      <c r="AC509" s="198"/>
      <c r="AD509" s="198"/>
      <c r="AE509" s="198"/>
      <c r="AF509" s="198"/>
      <c r="AG509" s="198"/>
      <c r="AH509" s="198"/>
      <c r="AI509" s="198"/>
      <c r="AJ509" s="198"/>
      <c r="AK509" s="198"/>
      <c r="AL509" s="198"/>
      <c r="AM509" s="198"/>
      <c r="AN509" s="198"/>
      <c r="AO509" s="198"/>
      <c r="AP509" s="198"/>
      <c r="AQ509" s="198"/>
      <c r="AR509" s="198"/>
      <c r="AS509" s="198"/>
      <c r="AT509" s="198"/>
      <c r="AU509" s="198"/>
      <c r="AV509" s="198"/>
      <c r="AW509" s="198"/>
    </row>
    <row r="510" spans="1:49" x14ac:dyDescent="0.25">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322"/>
      <c r="Y510" s="198"/>
      <c r="Z510" s="198"/>
      <c r="AA510" s="198"/>
      <c r="AB510" s="198"/>
      <c r="AC510" s="198"/>
      <c r="AD510" s="198"/>
      <c r="AE510" s="198"/>
      <c r="AF510" s="198"/>
      <c r="AG510" s="198"/>
      <c r="AH510" s="198"/>
      <c r="AI510" s="198"/>
      <c r="AJ510" s="198"/>
      <c r="AK510" s="198"/>
      <c r="AL510" s="198"/>
      <c r="AM510" s="198"/>
      <c r="AN510" s="198"/>
      <c r="AO510" s="198"/>
      <c r="AP510" s="198"/>
      <c r="AQ510" s="198"/>
      <c r="AR510" s="198"/>
      <c r="AS510" s="198"/>
      <c r="AT510" s="198"/>
      <c r="AU510" s="198"/>
      <c r="AV510" s="198"/>
      <c r="AW510" s="198"/>
    </row>
    <row r="511" spans="1:49" x14ac:dyDescent="0.25">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322"/>
      <c r="Y511" s="198"/>
      <c r="Z511" s="198"/>
      <c r="AA511" s="198"/>
      <c r="AB511" s="198"/>
      <c r="AC511" s="198"/>
      <c r="AD511" s="198"/>
      <c r="AE511" s="198"/>
      <c r="AF511" s="198"/>
      <c r="AG511" s="198"/>
      <c r="AH511" s="198"/>
      <c r="AI511" s="198"/>
      <c r="AJ511" s="198"/>
      <c r="AK511" s="198"/>
      <c r="AL511" s="198"/>
      <c r="AM511" s="198"/>
      <c r="AN511" s="198"/>
      <c r="AO511" s="198"/>
      <c r="AP511" s="198"/>
      <c r="AQ511" s="198"/>
      <c r="AR511" s="198"/>
      <c r="AS511" s="198"/>
      <c r="AT511" s="198"/>
      <c r="AU511" s="198"/>
      <c r="AV511" s="198"/>
      <c r="AW511" s="198"/>
    </row>
    <row r="512" spans="1:49" x14ac:dyDescent="0.25">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322"/>
      <c r="Y512" s="198"/>
      <c r="Z512" s="198"/>
      <c r="AA512" s="198"/>
      <c r="AB512" s="198"/>
      <c r="AC512" s="198"/>
      <c r="AD512" s="198"/>
      <c r="AE512" s="198"/>
      <c r="AF512" s="198"/>
      <c r="AG512" s="198"/>
      <c r="AH512" s="198"/>
      <c r="AI512" s="198"/>
      <c r="AJ512" s="198"/>
      <c r="AK512" s="198"/>
      <c r="AL512" s="198"/>
      <c r="AM512" s="198"/>
      <c r="AN512" s="198"/>
      <c r="AO512" s="198"/>
      <c r="AP512" s="198"/>
      <c r="AQ512" s="198"/>
      <c r="AR512" s="198"/>
      <c r="AS512" s="198"/>
      <c r="AT512" s="198"/>
      <c r="AU512" s="198"/>
      <c r="AV512" s="198"/>
      <c r="AW512" s="198"/>
    </row>
    <row r="513" spans="1:49" x14ac:dyDescent="0.25">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322"/>
      <c r="Y513" s="198"/>
      <c r="Z513" s="198"/>
      <c r="AA513" s="198"/>
      <c r="AB513" s="198"/>
      <c r="AC513" s="198"/>
      <c r="AD513" s="198"/>
      <c r="AE513" s="198"/>
      <c r="AF513" s="198"/>
      <c r="AG513" s="198"/>
      <c r="AH513" s="198"/>
      <c r="AI513" s="198"/>
      <c r="AJ513" s="198"/>
      <c r="AK513" s="198"/>
      <c r="AL513" s="198"/>
      <c r="AM513" s="198"/>
      <c r="AN513" s="198"/>
      <c r="AO513" s="198"/>
      <c r="AP513" s="198"/>
      <c r="AQ513" s="198"/>
      <c r="AR513" s="198"/>
      <c r="AS513" s="198"/>
      <c r="AT513" s="198"/>
      <c r="AU513" s="198"/>
      <c r="AV513" s="198"/>
      <c r="AW513" s="198"/>
    </row>
    <row r="514" spans="1:49" x14ac:dyDescent="0.25">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322"/>
      <c r="Y514" s="198"/>
      <c r="Z514" s="198"/>
      <c r="AA514" s="198"/>
      <c r="AB514" s="198"/>
      <c r="AC514" s="198"/>
      <c r="AD514" s="198"/>
      <c r="AE514" s="198"/>
      <c r="AF514" s="198"/>
      <c r="AG514" s="198"/>
      <c r="AH514" s="198"/>
      <c r="AI514" s="198"/>
      <c r="AJ514" s="198"/>
      <c r="AK514" s="198"/>
      <c r="AL514" s="198"/>
      <c r="AM514" s="198"/>
      <c r="AN514" s="198"/>
      <c r="AO514" s="198"/>
      <c r="AP514" s="198"/>
      <c r="AQ514" s="198"/>
      <c r="AR514" s="198"/>
      <c r="AS514" s="198"/>
      <c r="AT514" s="198"/>
      <c r="AU514" s="198"/>
      <c r="AV514" s="198"/>
      <c r="AW514" s="198"/>
    </row>
    <row r="515" spans="1:49" x14ac:dyDescent="0.25">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322"/>
      <c r="Y515" s="198"/>
      <c r="Z515" s="198"/>
      <c r="AA515" s="198"/>
      <c r="AB515" s="198"/>
      <c r="AC515" s="198"/>
      <c r="AD515" s="198"/>
      <c r="AE515" s="198"/>
      <c r="AF515" s="198"/>
      <c r="AG515" s="198"/>
      <c r="AH515" s="198"/>
      <c r="AI515" s="198"/>
      <c r="AJ515" s="198"/>
      <c r="AK515" s="198"/>
      <c r="AL515" s="198"/>
      <c r="AM515" s="198"/>
      <c r="AN515" s="198"/>
      <c r="AO515" s="198"/>
      <c r="AP515" s="198"/>
      <c r="AQ515" s="198"/>
      <c r="AR515" s="198"/>
      <c r="AS515" s="198"/>
      <c r="AT515" s="198"/>
      <c r="AU515" s="198"/>
      <c r="AV515" s="198"/>
      <c r="AW515" s="198"/>
    </row>
    <row r="516" spans="1:49" x14ac:dyDescent="0.25">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322"/>
      <c r="Y516" s="198"/>
      <c r="Z516" s="198"/>
      <c r="AA516" s="198"/>
      <c r="AB516" s="198"/>
      <c r="AC516" s="198"/>
      <c r="AD516" s="198"/>
      <c r="AE516" s="198"/>
      <c r="AF516" s="198"/>
      <c r="AG516" s="198"/>
      <c r="AH516" s="198"/>
      <c r="AI516" s="198"/>
      <c r="AJ516" s="198"/>
      <c r="AK516" s="198"/>
      <c r="AL516" s="198"/>
      <c r="AM516" s="198"/>
      <c r="AN516" s="198"/>
      <c r="AO516" s="198"/>
      <c r="AP516" s="198"/>
      <c r="AQ516" s="198"/>
      <c r="AR516" s="198"/>
      <c r="AS516" s="198"/>
      <c r="AT516" s="198"/>
      <c r="AU516" s="198"/>
      <c r="AV516" s="198"/>
      <c r="AW516" s="198"/>
    </row>
    <row r="517" spans="1:49" x14ac:dyDescent="0.25">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322"/>
      <c r="Y517" s="198"/>
      <c r="Z517" s="198"/>
      <c r="AA517" s="198"/>
      <c r="AB517" s="198"/>
      <c r="AC517" s="198"/>
      <c r="AD517" s="198"/>
      <c r="AE517" s="198"/>
      <c r="AF517" s="198"/>
      <c r="AG517" s="198"/>
      <c r="AH517" s="198"/>
      <c r="AI517" s="198"/>
      <c r="AJ517" s="198"/>
      <c r="AK517" s="198"/>
      <c r="AL517" s="198"/>
      <c r="AM517" s="198"/>
      <c r="AN517" s="198"/>
      <c r="AO517" s="198"/>
      <c r="AP517" s="198"/>
      <c r="AQ517" s="198"/>
      <c r="AR517" s="198"/>
      <c r="AS517" s="198"/>
      <c r="AT517" s="198"/>
      <c r="AU517" s="198"/>
      <c r="AV517" s="198"/>
      <c r="AW517" s="198"/>
    </row>
    <row r="518" spans="1:49" x14ac:dyDescent="0.25">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322"/>
      <c r="Y518" s="198"/>
      <c r="Z518" s="198"/>
      <c r="AA518" s="198"/>
      <c r="AB518" s="198"/>
      <c r="AC518" s="198"/>
      <c r="AD518" s="198"/>
      <c r="AE518" s="198"/>
      <c r="AF518" s="198"/>
      <c r="AG518" s="198"/>
      <c r="AH518" s="198"/>
      <c r="AI518" s="198"/>
      <c r="AJ518" s="198"/>
      <c r="AK518" s="198"/>
      <c r="AL518" s="198"/>
      <c r="AM518" s="198"/>
      <c r="AN518" s="198"/>
      <c r="AO518" s="198"/>
      <c r="AP518" s="198"/>
      <c r="AQ518" s="198"/>
      <c r="AR518" s="198"/>
      <c r="AS518" s="198"/>
      <c r="AT518" s="198"/>
      <c r="AU518" s="198"/>
      <c r="AV518" s="198"/>
      <c r="AW518" s="198"/>
    </row>
    <row r="519" spans="1:49" x14ac:dyDescent="0.25">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322"/>
      <c r="Y519" s="198"/>
      <c r="Z519" s="198"/>
      <c r="AA519" s="198"/>
      <c r="AB519" s="198"/>
      <c r="AC519" s="198"/>
      <c r="AD519" s="198"/>
      <c r="AE519" s="198"/>
      <c r="AF519" s="198"/>
      <c r="AG519" s="198"/>
      <c r="AH519" s="198"/>
      <c r="AI519" s="198"/>
      <c r="AJ519" s="198"/>
      <c r="AK519" s="198"/>
      <c r="AL519" s="198"/>
      <c r="AM519" s="198"/>
      <c r="AN519" s="198"/>
      <c r="AO519" s="198"/>
      <c r="AP519" s="198"/>
      <c r="AQ519" s="198"/>
      <c r="AR519" s="198"/>
      <c r="AS519" s="198"/>
      <c r="AT519" s="198"/>
      <c r="AU519" s="198"/>
      <c r="AV519" s="198"/>
      <c r="AW519" s="198"/>
    </row>
    <row r="520" spans="1:49" x14ac:dyDescent="0.25">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322"/>
      <c r="Y520" s="198"/>
      <c r="Z520" s="198"/>
      <c r="AA520" s="198"/>
      <c r="AB520" s="198"/>
      <c r="AC520" s="198"/>
      <c r="AD520" s="198"/>
      <c r="AE520" s="198"/>
      <c r="AF520" s="198"/>
      <c r="AG520" s="198"/>
      <c r="AH520" s="198"/>
      <c r="AI520" s="198"/>
      <c r="AJ520" s="198"/>
      <c r="AK520" s="198"/>
      <c r="AL520" s="198"/>
      <c r="AM520" s="198"/>
      <c r="AN520" s="198"/>
      <c r="AO520" s="198"/>
      <c r="AP520" s="198"/>
      <c r="AQ520" s="198"/>
      <c r="AR520" s="198"/>
      <c r="AS520" s="198"/>
      <c r="AT520" s="198"/>
      <c r="AU520" s="198"/>
      <c r="AV520" s="198"/>
      <c r="AW520" s="198"/>
    </row>
    <row r="521" spans="1:49" x14ac:dyDescent="0.25">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322"/>
      <c r="Y521" s="198"/>
      <c r="Z521" s="198"/>
      <c r="AA521" s="198"/>
      <c r="AB521" s="198"/>
      <c r="AC521" s="198"/>
      <c r="AD521" s="198"/>
      <c r="AE521" s="198"/>
      <c r="AF521" s="198"/>
      <c r="AG521" s="198"/>
      <c r="AH521" s="198"/>
      <c r="AI521" s="198"/>
      <c r="AJ521" s="198"/>
      <c r="AK521" s="198"/>
      <c r="AL521" s="198"/>
      <c r="AM521" s="198"/>
      <c r="AN521" s="198"/>
      <c r="AO521" s="198"/>
      <c r="AP521" s="198"/>
      <c r="AQ521" s="198"/>
      <c r="AR521" s="198"/>
      <c r="AS521" s="198"/>
      <c r="AT521" s="198"/>
      <c r="AU521" s="198"/>
      <c r="AV521" s="198"/>
      <c r="AW521" s="198"/>
    </row>
    <row r="522" spans="1:49" x14ac:dyDescent="0.25">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322"/>
      <c r="Y522" s="198"/>
      <c r="Z522" s="198"/>
      <c r="AA522" s="198"/>
      <c r="AB522" s="198"/>
      <c r="AC522" s="198"/>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row>
    <row r="523" spans="1:49" x14ac:dyDescent="0.25">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322"/>
      <c r="Y523" s="198"/>
      <c r="Z523" s="198"/>
      <c r="AA523" s="198"/>
      <c r="AB523" s="198"/>
      <c r="AC523" s="198"/>
      <c r="AD523" s="198"/>
      <c r="AE523" s="198"/>
      <c r="AF523" s="198"/>
      <c r="AG523" s="198"/>
      <c r="AH523" s="198"/>
      <c r="AI523" s="198"/>
      <c r="AJ523" s="198"/>
      <c r="AK523" s="198"/>
      <c r="AL523" s="198"/>
      <c r="AM523" s="198"/>
      <c r="AN523" s="198"/>
      <c r="AO523" s="198"/>
      <c r="AP523" s="198"/>
      <c r="AQ523" s="198"/>
      <c r="AR523" s="198"/>
      <c r="AS523" s="198"/>
      <c r="AT523" s="198"/>
      <c r="AU523" s="198"/>
      <c r="AV523" s="198"/>
      <c r="AW523" s="198"/>
    </row>
    <row r="524" spans="1:49" x14ac:dyDescent="0.25">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322"/>
      <c r="Y524" s="198"/>
      <c r="Z524" s="198"/>
      <c r="AA524" s="198"/>
      <c r="AB524" s="198"/>
      <c r="AC524" s="198"/>
      <c r="AD524" s="198"/>
      <c r="AE524" s="198"/>
      <c r="AF524" s="198"/>
      <c r="AG524" s="198"/>
      <c r="AH524" s="198"/>
      <c r="AI524" s="198"/>
      <c r="AJ524" s="198"/>
      <c r="AK524" s="198"/>
      <c r="AL524" s="198"/>
      <c r="AM524" s="198"/>
      <c r="AN524" s="198"/>
      <c r="AO524" s="198"/>
      <c r="AP524" s="198"/>
      <c r="AQ524" s="198"/>
      <c r="AR524" s="198"/>
      <c r="AS524" s="198"/>
      <c r="AT524" s="198"/>
      <c r="AU524" s="198"/>
      <c r="AV524" s="198"/>
      <c r="AW524" s="198"/>
    </row>
    <row r="525" spans="1:49" x14ac:dyDescent="0.25">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322"/>
      <c r="Y525" s="198"/>
      <c r="Z525" s="198"/>
      <c r="AA525" s="198"/>
      <c r="AB525" s="198"/>
      <c r="AC525" s="198"/>
      <c r="AD525" s="198"/>
      <c r="AE525" s="198"/>
      <c r="AF525" s="198"/>
      <c r="AG525" s="198"/>
      <c r="AH525" s="198"/>
      <c r="AI525" s="198"/>
      <c r="AJ525" s="198"/>
      <c r="AK525" s="198"/>
      <c r="AL525" s="198"/>
      <c r="AM525" s="198"/>
      <c r="AN525" s="198"/>
      <c r="AO525" s="198"/>
      <c r="AP525" s="198"/>
      <c r="AQ525" s="198"/>
      <c r="AR525" s="198"/>
      <c r="AS525" s="198"/>
      <c r="AT525" s="198"/>
      <c r="AU525" s="198"/>
      <c r="AV525" s="198"/>
      <c r="AW525" s="198"/>
    </row>
    <row r="526" spans="1:49" x14ac:dyDescent="0.25">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322"/>
      <c r="Y526" s="198"/>
      <c r="Z526" s="198"/>
      <c r="AA526" s="198"/>
      <c r="AB526" s="198"/>
      <c r="AC526" s="198"/>
      <c r="AD526" s="198"/>
      <c r="AE526" s="198"/>
      <c r="AF526" s="198"/>
      <c r="AG526" s="198"/>
      <c r="AH526" s="198"/>
      <c r="AI526" s="198"/>
      <c r="AJ526" s="198"/>
      <c r="AK526" s="198"/>
      <c r="AL526" s="198"/>
      <c r="AM526" s="198"/>
      <c r="AN526" s="198"/>
      <c r="AO526" s="198"/>
      <c r="AP526" s="198"/>
      <c r="AQ526" s="198"/>
      <c r="AR526" s="198"/>
      <c r="AS526" s="198"/>
      <c r="AT526" s="198"/>
      <c r="AU526" s="198"/>
      <c r="AV526" s="198"/>
      <c r="AW526" s="198"/>
    </row>
    <row r="527" spans="1:49" x14ac:dyDescent="0.25">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322"/>
      <c r="Y527" s="198"/>
      <c r="Z527" s="198"/>
      <c r="AA527" s="198"/>
      <c r="AB527" s="198"/>
      <c r="AC527" s="198"/>
      <c r="AD527" s="198"/>
      <c r="AE527" s="198"/>
      <c r="AF527" s="198"/>
      <c r="AG527" s="198"/>
      <c r="AH527" s="198"/>
      <c r="AI527" s="198"/>
      <c r="AJ527" s="198"/>
      <c r="AK527" s="198"/>
      <c r="AL527" s="198"/>
      <c r="AM527" s="198"/>
      <c r="AN527" s="198"/>
      <c r="AO527" s="198"/>
      <c r="AP527" s="198"/>
      <c r="AQ527" s="198"/>
      <c r="AR527" s="198"/>
      <c r="AS527" s="198"/>
      <c r="AT527" s="198"/>
      <c r="AU527" s="198"/>
      <c r="AV527" s="198"/>
      <c r="AW527" s="198"/>
    </row>
    <row r="528" spans="1:49" x14ac:dyDescent="0.25">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322"/>
      <c r="Y528" s="198"/>
      <c r="Z528" s="198"/>
      <c r="AA528" s="198"/>
      <c r="AB528" s="198"/>
      <c r="AC528" s="198"/>
      <c r="AD528" s="198"/>
      <c r="AE528" s="198"/>
      <c r="AF528" s="198"/>
      <c r="AG528" s="198"/>
      <c r="AH528" s="198"/>
      <c r="AI528" s="198"/>
      <c r="AJ528" s="198"/>
      <c r="AK528" s="198"/>
      <c r="AL528" s="198"/>
      <c r="AM528" s="198"/>
      <c r="AN528" s="198"/>
      <c r="AO528" s="198"/>
      <c r="AP528" s="198"/>
      <c r="AQ528" s="198"/>
      <c r="AR528" s="198"/>
      <c r="AS528" s="198"/>
      <c r="AT528" s="198"/>
      <c r="AU528" s="198"/>
      <c r="AV528" s="198"/>
      <c r="AW528" s="198"/>
    </row>
    <row r="529" spans="1:49" x14ac:dyDescent="0.25">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322"/>
      <c r="Y529" s="198"/>
      <c r="Z529" s="198"/>
      <c r="AA529" s="198"/>
      <c r="AB529" s="198"/>
      <c r="AC529" s="198"/>
      <c r="AD529" s="198"/>
      <c r="AE529" s="198"/>
      <c r="AF529" s="198"/>
      <c r="AG529" s="198"/>
      <c r="AH529" s="198"/>
      <c r="AI529" s="198"/>
      <c r="AJ529" s="198"/>
      <c r="AK529" s="198"/>
      <c r="AL529" s="198"/>
      <c r="AM529" s="198"/>
      <c r="AN529" s="198"/>
      <c r="AO529" s="198"/>
      <c r="AP529" s="198"/>
      <c r="AQ529" s="198"/>
      <c r="AR529" s="198"/>
      <c r="AS529" s="198"/>
      <c r="AT529" s="198"/>
      <c r="AU529" s="198"/>
      <c r="AV529" s="198"/>
      <c r="AW529" s="198"/>
    </row>
    <row r="530" spans="1:49" x14ac:dyDescent="0.25">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322"/>
      <c r="Y530" s="198"/>
      <c r="Z530" s="198"/>
      <c r="AA530" s="198"/>
      <c r="AB530" s="198"/>
      <c r="AC530" s="198"/>
      <c r="AD530" s="198"/>
      <c r="AE530" s="198"/>
      <c r="AF530" s="198"/>
      <c r="AG530" s="198"/>
      <c r="AH530" s="198"/>
      <c r="AI530" s="198"/>
      <c r="AJ530" s="198"/>
      <c r="AK530" s="198"/>
      <c r="AL530" s="198"/>
      <c r="AM530" s="198"/>
      <c r="AN530" s="198"/>
      <c r="AO530" s="198"/>
      <c r="AP530" s="198"/>
      <c r="AQ530" s="198"/>
      <c r="AR530" s="198"/>
      <c r="AS530" s="198"/>
      <c r="AT530" s="198"/>
      <c r="AU530" s="198"/>
      <c r="AV530" s="198"/>
      <c r="AW530" s="198"/>
    </row>
    <row r="531" spans="1:49" x14ac:dyDescent="0.25">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322"/>
      <c r="Y531" s="198"/>
      <c r="Z531" s="198"/>
      <c r="AA531" s="198"/>
      <c r="AB531" s="198"/>
      <c r="AC531" s="198"/>
      <c r="AD531" s="198"/>
      <c r="AE531" s="198"/>
      <c r="AF531" s="198"/>
      <c r="AG531" s="198"/>
      <c r="AH531" s="198"/>
      <c r="AI531" s="198"/>
      <c r="AJ531" s="198"/>
      <c r="AK531" s="198"/>
      <c r="AL531" s="198"/>
      <c r="AM531" s="198"/>
      <c r="AN531" s="198"/>
      <c r="AO531" s="198"/>
      <c r="AP531" s="198"/>
      <c r="AQ531" s="198"/>
      <c r="AR531" s="198"/>
      <c r="AS531" s="198"/>
      <c r="AT531" s="198"/>
      <c r="AU531" s="198"/>
      <c r="AV531" s="198"/>
      <c r="AW531" s="198"/>
    </row>
    <row r="532" spans="1:49" x14ac:dyDescent="0.25">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322"/>
      <c r="Y532" s="198"/>
      <c r="Z532" s="198"/>
      <c r="AA532" s="198"/>
      <c r="AB532" s="198"/>
      <c r="AC532" s="198"/>
      <c r="AD532" s="198"/>
      <c r="AE532" s="198"/>
      <c r="AF532" s="198"/>
      <c r="AG532" s="198"/>
      <c r="AH532" s="198"/>
      <c r="AI532" s="198"/>
      <c r="AJ532" s="198"/>
      <c r="AK532" s="198"/>
      <c r="AL532" s="198"/>
      <c r="AM532" s="198"/>
      <c r="AN532" s="198"/>
      <c r="AO532" s="198"/>
      <c r="AP532" s="198"/>
      <c r="AQ532" s="198"/>
      <c r="AR532" s="198"/>
      <c r="AS532" s="198"/>
      <c r="AT532" s="198"/>
      <c r="AU532" s="198"/>
      <c r="AV532" s="198"/>
      <c r="AW532" s="198"/>
    </row>
    <row r="533" spans="1:49" x14ac:dyDescent="0.25">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322"/>
      <c r="Y533" s="198"/>
      <c r="Z533" s="198"/>
      <c r="AA533" s="198"/>
      <c r="AB533" s="198"/>
      <c r="AC533" s="198"/>
      <c r="AD533" s="198"/>
      <c r="AE533" s="198"/>
      <c r="AF533" s="198"/>
      <c r="AG533" s="198"/>
      <c r="AH533" s="198"/>
      <c r="AI533" s="198"/>
      <c r="AJ533" s="198"/>
      <c r="AK533" s="198"/>
      <c r="AL533" s="198"/>
      <c r="AM533" s="198"/>
      <c r="AN533" s="198"/>
      <c r="AO533" s="198"/>
      <c r="AP533" s="198"/>
      <c r="AQ533" s="198"/>
      <c r="AR533" s="198"/>
      <c r="AS533" s="198"/>
      <c r="AT533" s="198"/>
      <c r="AU533" s="198"/>
      <c r="AV533" s="198"/>
      <c r="AW533" s="198"/>
    </row>
    <row r="534" spans="1:49" x14ac:dyDescent="0.25">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322"/>
      <c r="Y534" s="198"/>
      <c r="Z534" s="198"/>
      <c r="AA534" s="198"/>
      <c r="AB534" s="198"/>
      <c r="AC534" s="198"/>
      <c r="AD534" s="198"/>
      <c r="AE534" s="198"/>
      <c r="AF534" s="198"/>
      <c r="AG534" s="198"/>
      <c r="AH534" s="198"/>
      <c r="AI534" s="198"/>
      <c r="AJ534" s="198"/>
      <c r="AK534" s="198"/>
      <c r="AL534" s="198"/>
      <c r="AM534" s="198"/>
      <c r="AN534" s="198"/>
      <c r="AO534" s="198"/>
      <c r="AP534" s="198"/>
      <c r="AQ534" s="198"/>
      <c r="AR534" s="198"/>
      <c r="AS534" s="198"/>
      <c r="AT534" s="198"/>
      <c r="AU534" s="198"/>
      <c r="AV534" s="198"/>
      <c r="AW534" s="198"/>
    </row>
    <row r="535" spans="1:49" x14ac:dyDescent="0.25">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322"/>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row>
    <row r="536" spans="1:49" x14ac:dyDescent="0.25">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322"/>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row>
    <row r="537" spans="1:49" x14ac:dyDescent="0.25">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322"/>
      <c r="Y537" s="198"/>
      <c r="Z537" s="198"/>
      <c r="AA537" s="198"/>
      <c r="AB537" s="198"/>
      <c r="AC537" s="198"/>
      <c r="AD537" s="198"/>
      <c r="AE537" s="198"/>
      <c r="AF537" s="198"/>
      <c r="AG537" s="198"/>
      <c r="AH537" s="198"/>
      <c r="AI537" s="198"/>
      <c r="AJ537" s="198"/>
      <c r="AK537" s="198"/>
      <c r="AL537" s="198"/>
      <c r="AM537" s="198"/>
      <c r="AN537" s="198"/>
      <c r="AO537" s="198"/>
      <c r="AP537" s="198"/>
      <c r="AQ537" s="198"/>
      <c r="AR537" s="198"/>
      <c r="AS537" s="198"/>
      <c r="AT537" s="198"/>
      <c r="AU537" s="198"/>
      <c r="AV537" s="198"/>
      <c r="AW537" s="198"/>
    </row>
    <row r="538" spans="1:49" x14ac:dyDescent="0.25">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322"/>
      <c r="Y538" s="198"/>
      <c r="Z538" s="198"/>
      <c r="AA538" s="198"/>
      <c r="AB538" s="198"/>
      <c r="AC538" s="198"/>
      <c r="AD538" s="198"/>
      <c r="AE538" s="198"/>
      <c r="AF538" s="198"/>
      <c r="AG538" s="198"/>
      <c r="AH538" s="198"/>
      <c r="AI538" s="198"/>
      <c r="AJ538" s="198"/>
      <c r="AK538" s="198"/>
      <c r="AL538" s="198"/>
      <c r="AM538" s="198"/>
      <c r="AN538" s="198"/>
      <c r="AO538" s="198"/>
      <c r="AP538" s="198"/>
      <c r="AQ538" s="198"/>
      <c r="AR538" s="198"/>
      <c r="AS538" s="198"/>
      <c r="AT538" s="198"/>
      <c r="AU538" s="198"/>
      <c r="AV538" s="198"/>
      <c r="AW538" s="198"/>
    </row>
    <row r="539" spans="1:49" x14ac:dyDescent="0.25">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322"/>
      <c r="Y539" s="198"/>
      <c r="Z539" s="198"/>
      <c r="AA539" s="198"/>
      <c r="AB539" s="198"/>
      <c r="AC539" s="198"/>
      <c r="AD539" s="198"/>
      <c r="AE539" s="198"/>
      <c r="AF539" s="198"/>
      <c r="AG539" s="198"/>
      <c r="AH539" s="198"/>
      <c r="AI539" s="198"/>
      <c r="AJ539" s="198"/>
      <c r="AK539" s="198"/>
      <c r="AL539" s="198"/>
      <c r="AM539" s="198"/>
      <c r="AN539" s="198"/>
      <c r="AO539" s="198"/>
      <c r="AP539" s="198"/>
      <c r="AQ539" s="198"/>
      <c r="AR539" s="198"/>
      <c r="AS539" s="198"/>
      <c r="AT539" s="198"/>
      <c r="AU539" s="198"/>
      <c r="AV539" s="198"/>
      <c r="AW539" s="198"/>
    </row>
    <row r="540" spans="1:49" x14ac:dyDescent="0.25">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322"/>
      <c r="Y540" s="198"/>
      <c r="Z540" s="198"/>
      <c r="AA540" s="198"/>
      <c r="AB540" s="198"/>
      <c r="AC540" s="198"/>
      <c r="AD540" s="198"/>
      <c r="AE540" s="198"/>
      <c r="AF540" s="198"/>
      <c r="AG540" s="198"/>
      <c r="AH540" s="198"/>
      <c r="AI540" s="198"/>
      <c r="AJ540" s="198"/>
      <c r="AK540" s="198"/>
      <c r="AL540" s="198"/>
      <c r="AM540" s="198"/>
      <c r="AN540" s="198"/>
      <c r="AO540" s="198"/>
      <c r="AP540" s="198"/>
      <c r="AQ540" s="198"/>
      <c r="AR540" s="198"/>
      <c r="AS540" s="198"/>
      <c r="AT540" s="198"/>
      <c r="AU540" s="198"/>
      <c r="AV540" s="198"/>
      <c r="AW540" s="198"/>
    </row>
    <row r="541" spans="1:49" x14ac:dyDescent="0.25">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322"/>
      <c r="Y541" s="198"/>
      <c r="Z541" s="198"/>
      <c r="AA541" s="198"/>
      <c r="AB541" s="198"/>
      <c r="AC541" s="198"/>
      <c r="AD541" s="198"/>
      <c r="AE541" s="198"/>
      <c r="AF541" s="198"/>
      <c r="AG541" s="198"/>
      <c r="AH541" s="198"/>
      <c r="AI541" s="198"/>
      <c r="AJ541" s="198"/>
      <c r="AK541" s="198"/>
      <c r="AL541" s="198"/>
      <c r="AM541" s="198"/>
      <c r="AN541" s="198"/>
      <c r="AO541" s="198"/>
      <c r="AP541" s="198"/>
      <c r="AQ541" s="198"/>
      <c r="AR541" s="198"/>
      <c r="AS541" s="198"/>
      <c r="AT541" s="198"/>
      <c r="AU541" s="198"/>
      <c r="AV541" s="198"/>
      <c r="AW541" s="198"/>
    </row>
    <row r="542" spans="1:49" x14ac:dyDescent="0.25">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322"/>
      <c r="Y542" s="198"/>
      <c r="Z542" s="198"/>
      <c r="AA542" s="198"/>
      <c r="AB542" s="198"/>
      <c r="AC542" s="198"/>
      <c r="AD542" s="198"/>
      <c r="AE542" s="198"/>
      <c r="AF542" s="198"/>
      <c r="AG542" s="198"/>
      <c r="AH542" s="198"/>
      <c r="AI542" s="198"/>
      <c r="AJ542" s="198"/>
      <c r="AK542" s="198"/>
      <c r="AL542" s="198"/>
      <c r="AM542" s="198"/>
      <c r="AN542" s="198"/>
      <c r="AO542" s="198"/>
      <c r="AP542" s="198"/>
      <c r="AQ542" s="198"/>
      <c r="AR542" s="198"/>
      <c r="AS542" s="198"/>
      <c r="AT542" s="198"/>
      <c r="AU542" s="198"/>
      <c r="AV542" s="198"/>
      <c r="AW542" s="198"/>
    </row>
    <row r="543" spans="1:49" x14ac:dyDescent="0.25">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322"/>
      <c r="Y543" s="198"/>
      <c r="Z543" s="198"/>
      <c r="AA543" s="198"/>
      <c r="AB543" s="198"/>
      <c r="AC543" s="198"/>
      <c r="AD543" s="198"/>
      <c r="AE543" s="198"/>
      <c r="AF543" s="198"/>
      <c r="AG543" s="198"/>
      <c r="AH543" s="198"/>
      <c r="AI543" s="198"/>
      <c r="AJ543" s="198"/>
      <c r="AK543" s="198"/>
      <c r="AL543" s="198"/>
      <c r="AM543" s="198"/>
      <c r="AN543" s="198"/>
      <c r="AO543" s="198"/>
      <c r="AP543" s="198"/>
      <c r="AQ543" s="198"/>
      <c r="AR543" s="198"/>
      <c r="AS543" s="198"/>
      <c r="AT543" s="198"/>
      <c r="AU543" s="198"/>
      <c r="AV543" s="198"/>
      <c r="AW543" s="198"/>
    </row>
    <row r="544" spans="1:49" x14ac:dyDescent="0.25">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322"/>
      <c r="Y544" s="198"/>
      <c r="Z544" s="198"/>
      <c r="AA544" s="198"/>
      <c r="AB544" s="198"/>
      <c r="AC544" s="198"/>
      <c r="AD544" s="198"/>
      <c r="AE544" s="198"/>
      <c r="AF544" s="198"/>
      <c r="AG544" s="198"/>
      <c r="AH544" s="198"/>
      <c r="AI544" s="198"/>
      <c r="AJ544" s="198"/>
      <c r="AK544" s="198"/>
      <c r="AL544" s="198"/>
      <c r="AM544" s="198"/>
      <c r="AN544" s="198"/>
      <c r="AO544" s="198"/>
      <c r="AP544" s="198"/>
      <c r="AQ544" s="198"/>
      <c r="AR544" s="198"/>
      <c r="AS544" s="198"/>
      <c r="AT544" s="198"/>
      <c r="AU544" s="198"/>
      <c r="AV544" s="198"/>
      <c r="AW544" s="198"/>
    </row>
    <row r="545" spans="1:49" x14ac:dyDescent="0.25">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322"/>
      <c r="Y545" s="198"/>
      <c r="Z545" s="198"/>
      <c r="AA545" s="198"/>
      <c r="AB545" s="198"/>
      <c r="AC545" s="198"/>
      <c r="AD545" s="198"/>
      <c r="AE545" s="198"/>
      <c r="AF545" s="198"/>
      <c r="AG545" s="198"/>
      <c r="AH545" s="198"/>
      <c r="AI545" s="198"/>
      <c r="AJ545" s="198"/>
      <c r="AK545" s="198"/>
      <c r="AL545" s="198"/>
      <c r="AM545" s="198"/>
      <c r="AN545" s="198"/>
      <c r="AO545" s="198"/>
      <c r="AP545" s="198"/>
      <c r="AQ545" s="198"/>
      <c r="AR545" s="198"/>
      <c r="AS545" s="198"/>
      <c r="AT545" s="198"/>
      <c r="AU545" s="198"/>
      <c r="AV545" s="198"/>
      <c r="AW545" s="198"/>
    </row>
    <row r="546" spans="1:49" x14ac:dyDescent="0.25">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322"/>
      <c r="Y546" s="198"/>
      <c r="Z546" s="198"/>
      <c r="AA546" s="198"/>
      <c r="AB546" s="198"/>
      <c r="AC546" s="198"/>
      <c r="AD546" s="198"/>
      <c r="AE546" s="198"/>
      <c r="AF546" s="198"/>
      <c r="AG546" s="198"/>
      <c r="AH546" s="198"/>
      <c r="AI546" s="198"/>
      <c r="AJ546" s="198"/>
      <c r="AK546" s="198"/>
      <c r="AL546" s="198"/>
      <c r="AM546" s="198"/>
      <c r="AN546" s="198"/>
      <c r="AO546" s="198"/>
      <c r="AP546" s="198"/>
      <c r="AQ546" s="198"/>
      <c r="AR546" s="198"/>
      <c r="AS546" s="198"/>
      <c r="AT546" s="198"/>
      <c r="AU546" s="198"/>
      <c r="AV546" s="198"/>
      <c r="AW546" s="198"/>
    </row>
    <row r="547" spans="1:49" x14ac:dyDescent="0.25">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322"/>
      <c r="Y547" s="198"/>
      <c r="Z547" s="198"/>
      <c r="AA547" s="198"/>
      <c r="AB547" s="198"/>
      <c r="AC547" s="198"/>
      <c r="AD547" s="198"/>
      <c r="AE547" s="198"/>
      <c r="AF547" s="198"/>
      <c r="AG547" s="198"/>
      <c r="AH547" s="198"/>
      <c r="AI547" s="198"/>
      <c r="AJ547" s="198"/>
      <c r="AK547" s="198"/>
      <c r="AL547" s="198"/>
      <c r="AM547" s="198"/>
      <c r="AN547" s="198"/>
      <c r="AO547" s="198"/>
      <c r="AP547" s="198"/>
      <c r="AQ547" s="198"/>
      <c r="AR547" s="198"/>
      <c r="AS547" s="198"/>
      <c r="AT547" s="198"/>
      <c r="AU547" s="198"/>
      <c r="AV547" s="198"/>
      <c r="AW547" s="198"/>
    </row>
    <row r="548" spans="1:49" x14ac:dyDescent="0.25">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322"/>
      <c r="Y548" s="198"/>
      <c r="Z548" s="198"/>
      <c r="AA548" s="198"/>
      <c r="AB548" s="198"/>
      <c r="AC548" s="198"/>
      <c r="AD548" s="198"/>
      <c r="AE548" s="198"/>
      <c r="AF548" s="198"/>
      <c r="AG548" s="198"/>
      <c r="AH548" s="198"/>
      <c r="AI548" s="198"/>
      <c r="AJ548" s="198"/>
      <c r="AK548" s="198"/>
      <c r="AL548" s="198"/>
      <c r="AM548" s="198"/>
      <c r="AN548" s="198"/>
      <c r="AO548" s="198"/>
      <c r="AP548" s="198"/>
      <c r="AQ548" s="198"/>
      <c r="AR548" s="198"/>
      <c r="AS548" s="198"/>
      <c r="AT548" s="198"/>
      <c r="AU548" s="198"/>
      <c r="AV548" s="198"/>
      <c r="AW548" s="198"/>
    </row>
    <row r="549" spans="1:49" x14ac:dyDescent="0.25">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322"/>
      <c r="Y549" s="198"/>
      <c r="Z549" s="198"/>
      <c r="AA549" s="198"/>
      <c r="AB549" s="198"/>
      <c r="AC549" s="198"/>
      <c r="AD549" s="198"/>
      <c r="AE549" s="198"/>
      <c r="AF549" s="198"/>
      <c r="AG549" s="198"/>
      <c r="AH549" s="198"/>
      <c r="AI549" s="198"/>
      <c r="AJ549" s="198"/>
      <c r="AK549" s="198"/>
      <c r="AL549" s="198"/>
      <c r="AM549" s="198"/>
      <c r="AN549" s="198"/>
      <c r="AO549" s="198"/>
      <c r="AP549" s="198"/>
      <c r="AQ549" s="198"/>
      <c r="AR549" s="198"/>
      <c r="AS549" s="198"/>
      <c r="AT549" s="198"/>
      <c r="AU549" s="198"/>
      <c r="AV549" s="198"/>
      <c r="AW549" s="198"/>
    </row>
    <row r="550" spans="1:49" x14ac:dyDescent="0.25">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322"/>
      <c r="Y550" s="198"/>
      <c r="Z550" s="198"/>
      <c r="AA550" s="198"/>
      <c r="AB550" s="198"/>
      <c r="AC550" s="198"/>
      <c r="AD550" s="198"/>
      <c r="AE550" s="198"/>
      <c r="AF550" s="198"/>
      <c r="AG550" s="198"/>
      <c r="AH550" s="198"/>
      <c r="AI550" s="198"/>
      <c r="AJ550" s="198"/>
      <c r="AK550" s="198"/>
      <c r="AL550" s="198"/>
      <c r="AM550" s="198"/>
      <c r="AN550" s="198"/>
      <c r="AO550" s="198"/>
      <c r="AP550" s="198"/>
      <c r="AQ550" s="198"/>
      <c r="AR550" s="198"/>
      <c r="AS550" s="198"/>
      <c r="AT550" s="198"/>
      <c r="AU550" s="198"/>
      <c r="AV550" s="198"/>
      <c r="AW550" s="198"/>
    </row>
    <row r="551" spans="1:49" x14ac:dyDescent="0.25">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322"/>
      <c r="Y551" s="198"/>
      <c r="Z551" s="198"/>
      <c r="AA551" s="198"/>
      <c r="AB551" s="198"/>
      <c r="AC551" s="198"/>
      <c r="AD551" s="198"/>
      <c r="AE551" s="198"/>
      <c r="AF551" s="198"/>
      <c r="AG551" s="198"/>
      <c r="AH551" s="198"/>
      <c r="AI551" s="198"/>
      <c r="AJ551" s="198"/>
      <c r="AK551" s="198"/>
      <c r="AL551" s="198"/>
      <c r="AM551" s="198"/>
      <c r="AN551" s="198"/>
      <c r="AO551" s="198"/>
      <c r="AP551" s="198"/>
      <c r="AQ551" s="198"/>
      <c r="AR551" s="198"/>
      <c r="AS551" s="198"/>
      <c r="AT551" s="198"/>
      <c r="AU551" s="198"/>
      <c r="AV551" s="198"/>
      <c r="AW551" s="198"/>
    </row>
    <row r="552" spans="1:49" x14ac:dyDescent="0.25">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322"/>
      <c r="Y552" s="198"/>
      <c r="Z552" s="198"/>
      <c r="AA552" s="198"/>
      <c r="AB552" s="198"/>
      <c r="AC552" s="198"/>
      <c r="AD552" s="198"/>
      <c r="AE552" s="198"/>
      <c r="AF552" s="198"/>
      <c r="AG552" s="198"/>
      <c r="AH552" s="198"/>
      <c r="AI552" s="198"/>
      <c r="AJ552" s="198"/>
      <c r="AK552" s="198"/>
      <c r="AL552" s="198"/>
      <c r="AM552" s="198"/>
      <c r="AN552" s="198"/>
      <c r="AO552" s="198"/>
      <c r="AP552" s="198"/>
      <c r="AQ552" s="198"/>
      <c r="AR552" s="198"/>
      <c r="AS552" s="198"/>
      <c r="AT552" s="198"/>
      <c r="AU552" s="198"/>
      <c r="AV552" s="198"/>
      <c r="AW552" s="198"/>
    </row>
    <row r="553" spans="1:49" x14ac:dyDescent="0.25">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322"/>
      <c r="Y553" s="198"/>
      <c r="Z553" s="198"/>
      <c r="AA553" s="198"/>
      <c r="AB553" s="198"/>
      <c r="AC553" s="198"/>
      <c r="AD553" s="198"/>
      <c r="AE553" s="198"/>
      <c r="AF553" s="198"/>
      <c r="AG553" s="198"/>
      <c r="AH553" s="198"/>
      <c r="AI553" s="198"/>
      <c r="AJ553" s="198"/>
      <c r="AK553" s="198"/>
      <c r="AL553" s="198"/>
      <c r="AM553" s="198"/>
      <c r="AN553" s="198"/>
      <c r="AO553" s="198"/>
      <c r="AP553" s="198"/>
      <c r="AQ553" s="198"/>
      <c r="AR553" s="198"/>
      <c r="AS553" s="198"/>
      <c r="AT553" s="198"/>
      <c r="AU553" s="198"/>
      <c r="AV553" s="198"/>
      <c r="AW553" s="198"/>
    </row>
    <row r="554" spans="1:49" x14ac:dyDescent="0.25">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322"/>
      <c r="Y554" s="198"/>
      <c r="Z554" s="198"/>
      <c r="AA554" s="198"/>
      <c r="AB554" s="198"/>
      <c r="AC554" s="198"/>
      <c r="AD554" s="198"/>
      <c r="AE554" s="198"/>
      <c r="AF554" s="198"/>
      <c r="AG554" s="198"/>
      <c r="AH554" s="198"/>
      <c r="AI554" s="198"/>
      <c r="AJ554" s="198"/>
      <c r="AK554" s="198"/>
      <c r="AL554" s="198"/>
      <c r="AM554" s="198"/>
      <c r="AN554" s="198"/>
      <c r="AO554" s="198"/>
      <c r="AP554" s="198"/>
      <c r="AQ554" s="198"/>
      <c r="AR554" s="198"/>
      <c r="AS554" s="198"/>
      <c r="AT554" s="198"/>
      <c r="AU554" s="198"/>
      <c r="AV554" s="198"/>
      <c r="AW554" s="198"/>
    </row>
    <row r="555" spans="1:49" x14ac:dyDescent="0.25">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322"/>
      <c r="Y555" s="198"/>
      <c r="Z555" s="198"/>
      <c r="AA555" s="198"/>
      <c r="AB555" s="198"/>
      <c r="AC555" s="198"/>
      <c r="AD555" s="198"/>
      <c r="AE555" s="198"/>
      <c r="AF555" s="198"/>
      <c r="AG555" s="198"/>
      <c r="AH555" s="198"/>
      <c r="AI555" s="198"/>
      <c r="AJ555" s="198"/>
      <c r="AK555" s="198"/>
      <c r="AL555" s="198"/>
      <c r="AM555" s="198"/>
      <c r="AN555" s="198"/>
      <c r="AO555" s="198"/>
      <c r="AP555" s="198"/>
      <c r="AQ555" s="198"/>
      <c r="AR555" s="198"/>
      <c r="AS555" s="198"/>
      <c r="AT555" s="198"/>
      <c r="AU555" s="198"/>
      <c r="AV555" s="198"/>
      <c r="AW555" s="198"/>
    </row>
    <row r="556" spans="1:49" x14ac:dyDescent="0.25">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322"/>
      <c r="Y556" s="198"/>
      <c r="Z556" s="198"/>
      <c r="AA556" s="198"/>
      <c r="AB556" s="198"/>
      <c r="AC556" s="198"/>
      <c r="AD556" s="198"/>
      <c r="AE556" s="198"/>
      <c r="AF556" s="198"/>
      <c r="AG556" s="198"/>
      <c r="AH556" s="198"/>
      <c r="AI556" s="198"/>
      <c r="AJ556" s="198"/>
      <c r="AK556" s="198"/>
      <c r="AL556" s="198"/>
      <c r="AM556" s="198"/>
      <c r="AN556" s="198"/>
      <c r="AO556" s="198"/>
      <c r="AP556" s="198"/>
      <c r="AQ556" s="198"/>
      <c r="AR556" s="198"/>
      <c r="AS556" s="198"/>
      <c r="AT556" s="198"/>
      <c r="AU556" s="198"/>
      <c r="AV556" s="198"/>
      <c r="AW556" s="198"/>
    </row>
    <row r="557" spans="1:49" x14ac:dyDescent="0.25">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322"/>
      <c r="Y557" s="198"/>
      <c r="Z557" s="198"/>
      <c r="AA557" s="198"/>
      <c r="AB557" s="198"/>
      <c r="AC557" s="198"/>
      <c r="AD557" s="198"/>
      <c r="AE557" s="198"/>
      <c r="AF557" s="198"/>
      <c r="AG557" s="198"/>
      <c r="AH557" s="198"/>
      <c r="AI557" s="198"/>
      <c r="AJ557" s="198"/>
      <c r="AK557" s="198"/>
      <c r="AL557" s="198"/>
      <c r="AM557" s="198"/>
      <c r="AN557" s="198"/>
      <c r="AO557" s="198"/>
      <c r="AP557" s="198"/>
      <c r="AQ557" s="198"/>
      <c r="AR557" s="198"/>
      <c r="AS557" s="198"/>
      <c r="AT557" s="198"/>
      <c r="AU557" s="198"/>
      <c r="AV557" s="198"/>
      <c r="AW557" s="198"/>
    </row>
    <row r="558" spans="1:49" x14ac:dyDescent="0.25">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322"/>
      <c r="Y558" s="198"/>
      <c r="Z558" s="198"/>
      <c r="AA558" s="198"/>
      <c r="AB558" s="198"/>
      <c r="AC558" s="198"/>
      <c r="AD558" s="198"/>
      <c r="AE558" s="198"/>
      <c r="AF558" s="198"/>
      <c r="AG558" s="198"/>
      <c r="AH558" s="198"/>
      <c r="AI558" s="198"/>
      <c r="AJ558" s="198"/>
      <c r="AK558" s="198"/>
      <c r="AL558" s="198"/>
      <c r="AM558" s="198"/>
      <c r="AN558" s="198"/>
      <c r="AO558" s="198"/>
      <c r="AP558" s="198"/>
      <c r="AQ558" s="198"/>
      <c r="AR558" s="198"/>
      <c r="AS558" s="198"/>
      <c r="AT558" s="198"/>
      <c r="AU558" s="198"/>
      <c r="AV558" s="198"/>
      <c r="AW558" s="198"/>
    </row>
    <row r="559" spans="1:49" x14ac:dyDescent="0.25">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322"/>
      <c r="Y559" s="198"/>
      <c r="Z559" s="198"/>
      <c r="AA559" s="198"/>
      <c r="AB559" s="198"/>
      <c r="AC559" s="198"/>
      <c r="AD559" s="198"/>
      <c r="AE559" s="198"/>
      <c r="AF559" s="198"/>
      <c r="AG559" s="198"/>
      <c r="AH559" s="198"/>
      <c r="AI559" s="198"/>
      <c r="AJ559" s="198"/>
      <c r="AK559" s="198"/>
      <c r="AL559" s="198"/>
      <c r="AM559" s="198"/>
      <c r="AN559" s="198"/>
      <c r="AO559" s="198"/>
      <c r="AP559" s="198"/>
      <c r="AQ559" s="198"/>
      <c r="AR559" s="198"/>
      <c r="AS559" s="198"/>
      <c r="AT559" s="198"/>
      <c r="AU559" s="198"/>
      <c r="AV559" s="198"/>
      <c r="AW559" s="198"/>
    </row>
    <row r="560" spans="1:49" x14ac:dyDescent="0.25">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322"/>
      <c r="Y560" s="198"/>
      <c r="Z560" s="198"/>
      <c r="AA560" s="198"/>
      <c r="AB560" s="198"/>
      <c r="AC560" s="198"/>
      <c r="AD560" s="198"/>
      <c r="AE560" s="198"/>
      <c r="AF560" s="198"/>
      <c r="AG560" s="198"/>
      <c r="AH560" s="198"/>
      <c r="AI560" s="198"/>
      <c r="AJ560" s="198"/>
      <c r="AK560" s="198"/>
      <c r="AL560" s="198"/>
      <c r="AM560" s="198"/>
      <c r="AN560" s="198"/>
      <c r="AO560" s="198"/>
      <c r="AP560" s="198"/>
      <c r="AQ560" s="198"/>
      <c r="AR560" s="198"/>
      <c r="AS560" s="198"/>
      <c r="AT560" s="198"/>
      <c r="AU560" s="198"/>
      <c r="AV560" s="198"/>
      <c r="AW560" s="198"/>
    </row>
  </sheetData>
  <mergeCells count="21">
    <mergeCell ref="Y5:Y42"/>
    <mergeCell ref="H11:J11"/>
    <mergeCell ref="L11:N11"/>
    <mergeCell ref="P11:R11"/>
    <mergeCell ref="D5:F5"/>
    <mergeCell ref="V33:V35"/>
    <mergeCell ref="V24:V25"/>
    <mergeCell ref="P29:R29"/>
    <mergeCell ref="V30:V31"/>
    <mergeCell ref="H29:J29"/>
    <mergeCell ref="L29:N29"/>
    <mergeCell ref="X11:X12"/>
    <mergeCell ref="L8:R8"/>
    <mergeCell ref="V10:V11"/>
    <mergeCell ref="V19:V21"/>
    <mergeCell ref="V27:V28"/>
    <mergeCell ref="J4:N4"/>
    <mergeCell ref="P2:S3"/>
    <mergeCell ref="V13:V15"/>
    <mergeCell ref="V22:V23"/>
    <mergeCell ref="C2:G2"/>
  </mergeCells>
  <phoneticPr fontId="6" type="noConversion"/>
  <conditionalFormatting sqref="F12:F13 H12:H13 J12:J13 C15:D15 C17:D17 C19:D19 L12:L13 F15 F17 F19 H15 H17 H19 J15 J17 J19 L15 L19 L17 C21:L21 F23 H23 C23:D25">
    <cfRule type="expression" dxfId="43" priority="13" stopIfTrue="1">
      <formula>IF($F$6="",FALSE,TRUE)</formula>
    </cfRule>
  </conditionalFormatting>
  <conditionalFormatting sqref="H11:J11 L11:N11 P11:R11">
    <cfRule type="expression" dxfId="42" priority="14" stopIfTrue="1">
      <formula>IF($H$11="",FALSE,TRUE)</formula>
    </cfRule>
  </conditionalFormatting>
  <conditionalFormatting sqref="R19 N15 N17 N19 N12:N13 P15 R12:R13 P17 P19 P12:P13 R15 R17 M21:R21 R25 R23 P23 P25">
    <cfRule type="expression" dxfId="41" priority="15" stopIfTrue="1">
      <formula>IF($L$11="",FALSE,TRUE)</formula>
    </cfRule>
  </conditionalFormatting>
  <conditionalFormatting sqref="C27:J27">
    <cfRule type="expression" dxfId="40" priority="16" stopIfTrue="1">
      <formula>IF($P$9=1,FALSE,TRUE)</formula>
    </cfRule>
  </conditionalFormatting>
  <conditionalFormatting sqref="F30:F31 C35:D35 F35 C33:D33 F33 H30:H31 J30:J31 C37:L37 H33 J33 L33 H35 J35 L35 L31">
    <cfRule type="expression" dxfId="39" priority="17" stopIfTrue="1">
      <formula>IF($P$9=1,FALSE,TRUE)</formula>
    </cfRule>
  </conditionalFormatting>
  <conditionalFormatting sqref="C6">
    <cfRule type="expression" dxfId="38" priority="18" stopIfTrue="1">
      <formula>IF($F$6="",TRUE,FALSE)</formula>
    </cfRule>
  </conditionalFormatting>
  <conditionalFormatting sqref="L23 L25 J23 J25">
    <cfRule type="expression" dxfId="37" priority="19" stopIfTrue="1">
      <formula>IF($L$21="",FALSE,TRUE)</formula>
    </cfRule>
  </conditionalFormatting>
  <conditionalFormatting sqref="P6">
    <cfRule type="expression" dxfId="36" priority="20" stopIfTrue="1">
      <formula>IF($P$5="",FALSE,TRUE)</formula>
    </cfRule>
  </conditionalFormatting>
  <conditionalFormatting sqref="C39:F41">
    <cfRule type="expression" dxfId="35" priority="21" stopIfTrue="1">
      <formula>IF($C$39="",FALSE,TRUE)</formula>
    </cfRule>
  </conditionalFormatting>
  <conditionalFormatting sqref="P39 P41 R39 R41">
    <cfRule type="expression" dxfId="34" priority="22" stopIfTrue="1">
      <formula>IF($P$37="",FALSE,TRUE)</formula>
    </cfRule>
  </conditionalFormatting>
  <conditionalFormatting sqref="J39 J41 L39 L41">
    <cfRule type="expression" dxfId="33" priority="23" stopIfTrue="1">
      <formula>IF($J$39="",FALSE,TRUE)</formula>
    </cfRule>
  </conditionalFormatting>
  <conditionalFormatting sqref="L30">
    <cfRule type="expression" dxfId="32" priority="24" stopIfTrue="1">
      <formula>IF($F$6="",TRUE,FALSE)</formula>
    </cfRule>
    <cfRule type="expression" dxfId="31" priority="25" stopIfTrue="1">
      <formula>IF($P$9=1,FALSE,TRUE)</formula>
    </cfRule>
  </conditionalFormatting>
  <conditionalFormatting sqref="L29:N29 H29:J29 P29:R29">
    <cfRule type="expression" dxfId="30" priority="26" stopIfTrue="1">
      <formula>IF($F$6="",TRUE,FALSE)</formula>
    </cfRule>
    <cfRule type="expression" dxfId="29" priority="27" stopIfTrue="1">
      <formula>IF($H$29="",FALSE,TRUE)</formula>
    </cfRule>
  </conditionalFormatting>
  <conditionalFormatting sqref="N30:N31 P30:P31 R30:R31 N33 N35 P33 P35 R33 R35 M37:R37">
    <cfRule type="expression" dxfId="28" priority="28" stopIfTrue="1">
      <formula>IF($F$6="",TRUE,FALSE)</formula>
    </cfRule>
    <cfRule type="expression" dxfId="27" priority="29" stopIfTrue="1">
      <formula>IF($L$29="",TRUE,FALSE)</formula>
    </cfRule>
    <cfRule type="expression" dxfId="26" priority="30" stopIfTrue="1">
      <formula>IF($P$9=1,FALSE,TRUE)</formula>
    </cfRule>
  </conditionalFormatting>
  <conditionalFormatting sqref="X8">
    <cfRule type="expression" dxfId="25" priority="11" stopIfTrue="1">
      <formula>IF($W8=1,TRUE,FALSE)</formula>
    </cfRule>
  </conditionalFormatting>
  <conditionalFormatting sqref="X11">
    <cfRule type="expression" dxfId="24" priority="10" stopIfTrue="1">
      <formula>IF($W11=1,TRUE,FALSE)</formula>
    </cfRule>
  </conditionalFormatting>
  <conditionalFormatting sqref="X15">
    <cfRule type="expression" dxfId="23" priority="9" stopIfTrue="1">
      <formula>IF($W15=1,TRUE,FALSE)</formula>
    </cfRule>
  </conditionalFormatting>
  <conditionalFormatting sqref="Y3">
    <cfRule type="expression" dxfId="22" priority="6" stopIfTrue="1">
      <formula>IF(AX1=0,TRUE,FALSE)</formula>
    </cfRule>
    <cfRule type="expression" dxfId="21" priority="7" stopIfTrue="1">
      <formula>IF(AX1=1,TRUE,FALSE)</formula>
    </cfRule>
    <cfRule type="expression" dxfId="20" priority="8" stopIfTrue="1">
      <formula>IF(AX1&gt;1,TRUE,FALSE)</formula>
    </cfRule>
  </conditionalFormatting>
  <conditionalFormatting sqref="X19">
    <cfRule type="expression" dxfId="19" priority="5" stopIfTrue="1">
      <formula>IF($W19=1,TRUE,FALSE)</formula>
    </cfRule>
  </conditionalFormatting>
  <conditionalFormatting sqref="X23">
    <cfRule type="expression" dxfId="18" priority="4" stopIfTrue="1">
      <formula>IF($W23=1,TRUE,FALSE)</formula>
    </cfRule>
  </conditionalFormatting>
  <conditionalFormatting sqref="X27">
    <cfRule type="expression" dxfId="17" priority="3" stopIfTrue="1">
      <formula>IF($W27=1,TRUE,FALSE)</formula>
    </cfRule>
  </conditionalFormatting>
  <conditionalFormatting sqref="X31">
    <cfRule type="expression" dxfId="16" priority="2" stopIfTrue="1">
      <formula>IF($W31=1,TRUE,FALSE)</formula>
    </cfRule>
  </conditionalFormatting>
  <conditionalFormatting sqref="V19:V21">
    <cfRule type="expression" dxfId="15" priority="1" stopIfTrue="1">
      <formula>IF($AY$1=1,TRUE,FALSE)</formula>
    </cfRule>
  </conditionalFormatting>
  <hyperlinks>
    <hyperlink ref="P2:S3" location="'Internetfenster 1'!F6" display="Gehe zu Ausgangsbetrieb à"/>
    <hyperlink ref="V10:V11" location="'Beiträge NT'!A1" display="Beiträge aus Nebentätigkeiten à"/>
    <hyperlink ref="V8" location="'Beiträge aus EHW'!I5" display="Beiträge aus dem Einheitswert à"/>
    <hyperlink ref="V5" location="'Info &amp; Navigation'!A1" display="Einstiegsbildschirm"/>
    <hyperlink ref="V19:V20" location="Pacht!A1" display="Zu-/Verpachtung bzw. Zu-/Verkauf"/>
    <hyperlink ref="V27" location="'Höchst-BTG'!A1" display="Höchst-Beitragsgrundlagen"/>
    <hyperlink ref="V30" location="'Höchst-BTG'!A1" display="Höchst-Beitragsgrundlagen"/>
    <hyperlink ref="V24" location="'BTG und Beitragssatz'!A1" display="Beitragsgrundlage &amp; Beitragssatz"/>
    <hyperlink ref="V13:V14" location="Pacht!A1" display="Zu-/Verpachtung bzw. Zu-/Verkauf"/>
    <hyperlink ref="V13:V15" location="EHW!E5" display="EHW!E5"/>
  </hyperlinks>
  <printOptions horizontalCentered="1"/>
  <pageMargins left="0.59055118110236227" right="0.59055118110236227" top="0.59055118110236227" bottom="0.59055118110236227" header="0.51181102362204722" footer="0.31496062992125984"/>
  <pageSetup paperSize="9" scale="98" orientation="landscape" r:id="rId1"/>
  <headerFooter alignWithMargins="0">
    <oddFooter>&amp;L&amp;8SVB-Beitragsberechnungsprogramm&amp;C&amp;8Bitte beachten: Die ermittelten Ergebnisse dienen lediglich der Information und sind unverbindlich!&amp;R&amp;8&amp;D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5</xdr:col>
                    <xdr:colOff>0</xdr:colOff>
                    <xdr:row>3</xdr:row>
                    <xdr:rowOff>0</xdr:rowOff>
                  </from>
                  <to>
                    <xdr:col>5</xdr:col>
                    <xdr:colOff>838200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0</xdr:colOff>
                    <xdr:row>7</xdr:row>
                    <xdr:rowOff>0</xdr:rowOff>
                  </from>
                  <to>
                    <xdr:col>9</xdr:col>
                    <xdr:colOff>502920</xdr:colOff>
                    <xdr:row>8</xdr:row>
                    <xdr:rowOff>0</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13</xdr:col>
                    <xdr:colOff>121920</xdr:colOff>
                    <xdr:row>8</xdr:row>
                    <xdr:rowOff>0</xdr:rowOff>
                  </from>
                  <to>
                    <xdr:col>17</xdr:col>
                    <xdr:colOff>868680</xdr:colOff>
                    <xdr:row>9</xdr:row>
                    <xdr:rowOff>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23</xdr:col>
                    <xdr:colOff>45720</xdr:colOff>
                    <xdr:row>7</xdr:row>
                    <xdr:rowOff>60960</xdr:rowOff>
                  </from>
                  <to>
                    <xdr:col>24</xdr:col>
                    <xdr:colOff>76200</xdr:colOff>
                    <xdr:row>9</xdr:row>
                    <xdr:rowOff>106680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23</xdr:col>
                    <xdr:colOff>45720</xdr:colOff>
                    <xdr:row>10</xdr:row>
                    <xdr:rowOff>114300</xdr:rowOff>
                  </from>
                  <to>
                    <xdr:col>24</xdr:col>
                    <xdr:colOff>76200</xdr:colOff>
                    <xdr:row>13</xdr:row>
                    <xdr:rowOff>22860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23</xdr:col>
                    <xdr:colOff>45720</xdr:colOff>
                    <xdr:row>14</xdr:row>
                    <xdr:rowOff>38100</xdr:rowOff>
                  </from>
                  <to>
                    <xdr:col>24</xdr:col>
                    <xdr:colOff>76200</xdr:colOff>
                    <xdr:row>18</xdr:row>
                    <xdr:rowOff>45720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23</xdr:col>
                    <xdr:colOff>45720</xdr:colOff>
                    <xdr:row>17</xdr:row>
                    <xdr:rowOff>30480</xdr:rowOff>
                  </from>
                  <to>
                    <xdr:col>24</xdr:col>
                    <xdr:colOff>76200</xdr:colOff>
                    <xdr:row>21</xdr:row>
                    <xdr:rowOff>38100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23</xdr:col>
                    <xdr:colOff>45720</xdr:colOff>
                    <xdr:row>22</xdr:row>
                    <xdr:rowOff>22860</xdr:rowOff>
                  </from>
                  <to>
                    <xdr:col>24</xdr:col>
                    <xdr:colOff>76200</xdr:colOff>
                    <xdr:row>25</xdr:row>
                    <xdr:rowOff>76200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23</xdr:col>
                    <xdr:colOff>45720</xdr:colOff>
                    <xdr:row>26</xdr:row>
                    <xdr:rowOff>0</xdr:rowOff>
                  </from>
                  <to>
                    <xdr:col>24</xdr:col>
                    <xdr:colOff>76200</xdr:colOff>
                    <xdr:row>29</xdr:row>
                    <xdr:rowOff>38100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23</xdr:col>
                    <xdr:colOff>45720</xdr:colOff>
                    <xdr:row>30</xdr:row>
                    <xdr:rowOff>137160</xdr:rowOff>
                  </from>
                  <to>
                    <xdr:col>24</xdr:col>
                    <xdr:colOff>76200</xdr:colOff>
                    <xdr:row>34</xdr:row>
                    <xdr:rowOff>144780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3"/>
  <dimension ref="A1:BE89"/>
  <sheetViews>
    <sheetView showGridLines="0" zoomScale="90" zoomScaleNormal="90" workbookViewId="0">
      <selection activeCell="C20" sqref="C20:C21"/>
    </sheetView>
  </sheetViews>
  <sheetFormatPr baseColWidth="10" defaultColWidth="11" defaultRowHeight="13.8" x14ac:dyDescent="0.25"/>
  <cols>
    <col min="1" max="1" width="11" style="134"/>
    <col min="2" max="2" width="2.59765625" style="134" customWidth="1"/>
    <col min="3" max="3" width="18.59765625" style="134" customWidth="1"/>
    <col min="4" max="4" width="1.59765625" style="134" customWidth="1"/>
    <col min="5" max="5" width="18.59765625" style="134" customWidth="1"/>
    <col min="6" max="6" width="1.59765625" style="134" customWidth="1"/>
    <col min="7" max="7" width="18.59765625" style="134" customWidth="1"/>
    <col min="8" max="8" width="1.59765625" style="134" customWidth="1"/>
    <col min="9" max="9" width="19.5" style="134" customWidth="1"/>
    <col min="10" max="10" width="1.59765625" style="134" customWidth="1"/>
    <col min="11" max="11" width="10.59765625" style="134" customWidth="1"/>
    <col min="12" max="12" width="1.59765625" style="134" customWidth="1"/>
    <col min="13" max="13" width="18.59765625" style="134" customWidth="1"/>
    <col min="14" max="14" width="1.59765625" style="134" customWidth="1"/>
    <col min="15" max="15" width="18.59765625" style="135" customWidth="1"/>
    <col min="16" max="16" width="4.09765625" style="134" customWidth="1"/>
    <col min="17" max="18" width="11.09765625" style="134" customWidth="1"/>
    <col min="19" max="19" width="9.59765625" style="134" customWidth="1"/>
    <col min="20" max="20" width="6.59765625" style="134" customWidth="1"/>
    <col min="21" max="21" width="48.59765625" style="134" customWidth="1"/>
    <col min="22" max="16384" width="11" style="134"/>
  </cols>
  <sheetData>
    <row r="1" spans="1:57" x14ac:dyDescent="0.25">
      <c r="A1" s="213"/>
      <c r="B1" s="213"/>
      <c r="C1" s="213"/>
      <c r="D1" s="213"/>
      <c r="E1" s="213"/>
      <c r="F1" s="213"/>
      <c r="G1" s="213"/>
      <c r="H1" s="213"/>
      <c r="I1" s="213"/>
      <c r="J1" s="213"/>
      <c r="K1" s="213"/>
      <c r="L1" s="213"/>
      <c r="M1" s="213"/>
      <c r="N1" s="213"/>
      <c r="O1" s="214"/>
      <c r="P1" s="213"/>
      <c r="Q1" s="213"/>
      <c r="R1" s="213"/>
      <c r="S1" s="213"/>
      <c r="T1" s="213"/>
      <c r="U1" s="213"/>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328">
        <f>Bedienungsanleitungen!AD35</f>
        <v>0</v>
      </c>
    </row>
    <row r="2" spans="1:57" s="136" customFormat="1" ht="21" x14ac:dyDescent="0.25">
      <c r="A2" s="215"/>
      <c r="B2" s="359" t="s">
        <v>231</v>
      </c>
      <c r="C2" s="359"/>
      <c r="D2" s="359"/>
      <c r="E2" s="359"/>
      <c r="F2" s="359"/>
      <c r="G2" s="359"/>
      <c r="H2" s="359"/>
      <c r="I2" s="359"/>
      <c r="J2" s="359"/>
      <c r="K2" s="359"/>
      <c r="L2" s="359"/>
      <c r="M2" s="359"/>
      <c r="N2" s="359"/>
      <c r="O2" s="359"/>
      <c r="P2" s="215"/>
      <c r="Q2" s="215"/>
      <c r="R2" s="215"/>
      <c r="S2" s="215"/>
      <c r="T2" s="215"/>
      <c r="U2" s="331" t="str">
        <f>"           Bedienungshinweise "&amp;IF(BE1=1,"ausblenden","einblenden")</f>
        <v xml:space="preserve">           Bedienungshinweise einblenden</v>
      </c>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row>
    <row r="3" spans="1:57" s="136" customFormat="1" ht="21" x14ac:dyDescent="0.25">
      <c r="A3" s="215"/>
      <c r="B3" s="359" t="s">
        <v>131</v>
      </c>
      <c r="C3" s="359"/>
      <c r="D3" s="359"/>
      <c r="E3" s="359"/>
      <c r="F3" s="359"/>
      <c r="G3" s="359"/>
      <c r="H3" s="359"/>
      <c r="I3" s="359"/>
      <c r="J3" s="359"/>
      <c r="K3" s="359"/>
      <c r="L3" s="359"/>
      <c r="M3" s="359"/>
      <c r="N3" s="359"/>
      <c r="O3" s="359"/>
      <c r="P3" s="215"/>
      <c r="Q3" s="215"/>
      <c r="R3" s="215"/>
      <c r="S3" s="215"/>
      <c r="T3" s="215"/>
      <c r="U3" s="215"/>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row>
    <row r="4" spans="1:57" s="136" customFormat="1" ht="6" customHeight="1" x14ac:dyDescent="0.25">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row>
    <row r="5" spans="1:57" s="136" customFormat="1" ht="21" x14ac:dyDescent="0.25">
      <c r="A5" s="216"/>
      <c r="B5" s="216"/>
      <c r="C5" s="216"/>
      <c r="D5" s="216"/>
      <c r="E5" s="216"/>
      <c r="F5" s="216"/>
      <c r="G5" s="221"/>
      <c r="H5" s="221"/>
      <c r="I5" s="360" t="s">
        <v>207</v>
      </c>
      <c r="J5" s="360"/>
      <c r="K5" s="360"/>
      <c r="L5" s="360"/>
      <c r="M5" s="360"/>
      <c r="N5" s="360"/>
      <c r="O5" s="360"/>
      <c r="P5" s="216"/>
      <c r="Q5" s="349" t="s">
        <v>261</v>
      </c>
      <c r="R5" s="349"/>
      <c r="S5" s="349"/>
      <c r="T5" s="216"/>
      <c r="U5" s="329" t="str">
        <f>IF(BE1=1,"Bedienungshinweise zur Eingabe","")</f>
        <v/>
      </c>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row>
    <row r="6" spans="1:57" s="137" customFormat="1" ht="23.25" customHeight="1" x14ac:dyDescent="0.25">
      <c r="A6" s="217"/>
      <c r="B6" s="361" t="s">
        <v>226</v>
      </c>
      <c r="C6" s="361"/>
      <c r="D6" s="361"/>
      <c r="E6" s="361"/>
      <c r="F6" s="361"/>
      <c r="G6" s="361"/>
      <c r="H6" s="361"/>
      <c r="I6" s="361"/>
      <c r="J6" s="361"/>
      <c r="K6" s="361"/>
      <c r="L6" s="361"/>
      <c r="M6" s="361"/>
      <c r="N6" s="361"/>
      <c r="O6" s="361"/>
      <c r="P6" s="217"/>
      <c r="Q6" s="376" t="s">
        <v>247</v>
      </c>
      <c r="R6" s="376"/>
      <c r="S6" s="376"/>
      <c r="T6" s="217"/>
      <c r="U6" s="330" t="str">
        <f>IF(BE1=1,"und Berechnung von Betriebsänderungen","")</f>
        <v/>
      </c>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row>
    <row r="7" spans="1:57" s="137" customFormat="1" ht="14.25" customHeight="1" x14ac:dyDescent="0.25">
      <c r="A7" s="217"/>
      <c r="B7" s="361"/>
      <c r="C7" s="361"/>
      <c r="D7" s="361"/>
      <c r="E7" s="361"/>
      <c r="F7" s="361"/>
      <c r="G7" s="361"/>
      <c r="H7" s="361"/>
      <c r="I7" s="361"/>
      <c r="J7" s="361"/>
      <c r="K7" s="361"/>
      <c r="L7" s="361"/>
      <c r="M7" s="361"/>
      <c r="N7" s="361"/>
      <c r="O7" s="361"/>
      <c r="P7" s="217"/>
      <c r="Q7" s="352" t="s">
        <v>296</v>
      </c>
      <c r="R7" s="352"/>
      <c r="S7" s="352"/>
      <c r="T7" s="217"/>
      <c r="U7" s="350" t="str">
        <f>IF(BE1=1,Bedienungsanleitungen!AD5,"")</f>
        <v/>
      </c>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row>
    <row r="8" spans="1:57" s="137" customFormat="1" ht="14.25" customHeight="1" x14ac:dyDescent="0.25">
      <c r="A8" s="217"/>
      <c r="B8" s="197"/>
      <c r="C8" s="197"/>
      <c r="D8" s="197"/>
      <c r="E8" s="197"/>
      <c r="F8" s="148"/>
      <c r="G8" s="362" t="s">
        <v>195</v>
      </c>
      <c r="H8" s="362"/>
      <c r="I8" s="362"/>
      <c r="J8" s="362"/>
      <c r="K8" s="362"/>
      <c r="L8" s="148"/>
      <c r="M8" s="363">
        <f>'Internetfenster 1'!F6</f>
        <v>0</v>
      </c>
      <c r="N8" s="148"/>
      <c r="O8" s="148"/>
      <c r="P8" s="217"/>
      <c r="Q8" s="352"/>
      <c r="R8" s="352"/>
      <c r="S8" s="352"/>
      <c r="T8" s="217"/>
      <c r="U8" s="350"/>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row>
    <row r="9" spans="1:57" s="137" customFormat="1" ht="14.25" customHeight="1" x14ac:dyDescent="0.25">
      <c r="A9" s="217"/>
      <c r="B9" s="197"/>
      <c r="C9" s="197"/>
      <c r="D9" s="197"/>
      <c r="E9" s="197"/>
      <c r="F9" s="139"/>
      <c r="G9" s="362"/>
      <c r="H9" s="362"/>
      <c r="I9" s="362"/>
      <c r="J9" s="362"/>
      <c r="K9" s="362"/>
      <c r="L9" s="179"/>
      <c r="M9" s="363"/>
      <c r="N9" s="167"/>
      <c r="O9" s="167"/>
      <c r="P9" s="217"/>
      <c r="Q9" s="352" t="s">
        <v>297</v>
      </c>
      <c r="R9" s="352"/>
      <c r="S9" s="352"/>
      <c r="T9" s="217"/>
      <c r="U9" s="350"/>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row>
    <row r="10" spans="1:57" s="137" customFormat="1" ht="5.25" customHeight="1" x14ac:dyDescent="0.25">
      <c r="A10" s="217"/>
      <c r="B10" s="197"/>
      <c r="C10" s="197"/>
      <c r="D10" s="197"/>
      <c r="E10" s="197"/>
      <c r="F10" s="147"/>
      <c r="G10" s="147"/>
      <c r="H10" s="147"/>
      <c r="I10" s="147"/>
      <c r="J10" s="147"/>
      <c r="K10" s="147"/>
      <c r="L10" s="147"/>
      <c r="M10" s="147"/>
      <c r="N10" s="147"/>
      <c r="O10" s="147"/>
      <c r="P10" s="217"/>
      <c r="Q10" s="352"/>
      <c r="R10" s="352"/>
      <c r="S10" s="352"/>
      <c r="T10" s="217"/>
      <c r="U10" s="350"/>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row>
    <row r="11" spans="1:57" s="137" customFormat="1" ht="14.25" customHeight="1" x14ac:dyDescent="0.25">
      <c r="A11" s="217"/>
      <c r="B11" s="197"/>
      <c r="C11" s="197"/>
      <c r="D11" s="197"/>
      <c r="E11" s="197"/>
      <c r="F11" s="147"/>
      <c r="G11" s="362" t="s">
        <v>190</v>
      </c>
      <c r="H11" s="362"/>
      <c r="I11" s="362"/>
      <c r="J11" s="362"/>
      <c r="K11" s="362"/>
      <c r="L11" s="147"/>
      <c r="M11" s="363">
        <f>M44</f>
        <v>0</v>
      </c>
      <c r="N11" s="147"/>
      <c r="O11" s="370" t="s">
        <v>197</v>
      </c>
      <c r="P11" s="217"/>
      <c r="Q11" s="217"/>
      <c r="R11" s="217"/>
      <c r="S11" s="217"/>
      <c r="T11" s="217"/>
      <c r="U11" s="350"/>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row>
    <row r="12" spans="1:57" s="137" customFormat="1" ht="14.25" customHeight="1" x14ac:dyDescent="0.25">
      <c r="A12" s="217"/>
      <c r="B12" s="157"/>
      <c r="C12" s="364" t="s">
        <v>191</v>
      </c>
      <c r="D12" s="178"/>
      <c r="E12" s="364" t="s">
        <v>191</v>
      </c>
      <c r="F12" s="147"/>
      <c r="G12" s="362"/>
      <c r="H12" s="362"/>
      <c r="I12" s="362"/>
      <c r="J12" s="362"/>
      <c r="K12" s="362"/>
      <c r="L12" s="147"/>
      <c r="M12" s="363"/>
      <c r="N12" s="147"/>
      <c r="O12" s="370"/>
      <c r="P12" s="217"/>
      <c r="Q12" s="349" t="s">
        <v>261</v>
      </c>
      <c r="R12" s="349"/>
      <c r="S12" s="349"/>
      <c r="T12" s="217"/>
      <c r="U12" s="350"/>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row>
    <row r="13" spans="1:57" s="137" customFormat="1" ht="5.25" customHeight="1" x14ac:dyDescent="0.25">
      <c r="A13" s="217"/>
      <c r="B13" s="157"/>
      <c r="C13" s="364"/>
      <c r="D13" s="178"/>
      <c r="E13" s="364"/>
      <c r="F13" s="147"/>
      <c r="G13" s="147"/>
      <c r="H13" s="147"/>
      <c r="I13" s="147"/>
      <c r="J13" s="147"/>
      <c r="K13" s="147"/>
      <c r="L13" s="147"/>
      <c r="M13" s="162"/>
      <c r="N13" s="147"/>
      <c r="O13" s="370"/>
      <c r="P13" s="217"/>
      <c r="Q13" s="377" t="s">
        <v>132</v>
      </c>
      <c r="R13" s="377"/>
      <c r="S13" s="377"/>
      <c r="T13" s="217"/>
      <c r="U13" s="350"/>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row>
    <row r="14" spans="1:57" s="137" customFormat="1" ht="14.25" customHeight="1" x14ac:dyDescent="0.25">
      <c r="A14" s="217"/>
      <c r="B14" s="157"/>
      <c r="C14" s="182" t="s">
        <v>192</v>
      </c>
      <c r="D14" s="178"/>
      <c r="E14" s="365" t="s">
        <v>196</v>
      </c>
      <c r="F14" s="147"/>
      <c r="G14" s="147"/>
      <c r="H14" s="147"/>
      <c r="I14" s="147"/>
      <c r="J14" s="147"/>
      <c r="K14" s="147"/>
      <c r="L14" s="147"/>
      <c r="M14" s="363">
        <f>SUM(M8:M12)</f>
        <v>0</v>
      </c>
      <c r="N14" s="147"/>
      <c r="O14" s="363">
        <f>ROUNDDOWN(M14,-2)</f>
        <v>0</v>
      </c>
      <c r="P14" s="217"/>
      <c r="Q14" s="377"/>
      <c r="R14" s="377"/>
      <c r="S14" s="377"/>
      <c r="T14" s="217"/>
      <c r="U14" s="350"/>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row>
    <row r="15" spans="1:57" s="137" customFormat="1" ht="14.25" customHeight="1" x14ac:dyDescent="0.25">
      <c r="A15" s="217"/>
      <c r="B15" s="157"/>
      <c r="C15" s="182" t="s">
        <v>193</v>
      </c>
      <c r="D15" s="178"/>
      <c r="E15" s="365"/>
      <c r="F15" s="147"/>
      <c r="G15" s="147"/>
      <c r="H15" s="147"/>
      <c r="I15" s="147"/>
      <c r="J15" s="147"/>
      <c r="K15" s="147"/>
      <c r="L15" s="147"/>
      <c r="M15" s="363"/>
      <c r="N15" s="147"/>
      <c r="O15" s="372"/>
      <c r="P15" s="217"/>
      <c r="Q15" s="378" t="s">
        <v>327</v>
      </c>
      <c r="R15" s="378"/>
      <c r="S15" s="378"/>
      <c r="T15" s="217"/>
      <c r="U15" s="350"/>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row>
    <row r="16" spans="1:57" s="137" customFormat="1" ht="14.25" customHeight="1" x14ac:dyDescent="0.25">
      <c r="A16" s="217"/>
      <c r="B16" s="157"/>
      <c r="C16" s="174" t="s">
        <v>194</v>
      </c>
      <c r="D16" s="139"/>
      <c r="E16" s="174" t="s">
        <v>194</v>
      </c>
      <c r="F16" s="139"/>
      <c r="G16" s="139"/>
      <c r="H16" s="139"/>
      <c r="I16" s="139"/>
      <c r="J16" s="147"/>
      <c r="K16" s="147"/>
      <c r="L16" s="147"/>
      <c r="M16" s="162"/>
      <c r="N16" s="147"/>
      <c r="O16" s="147"/>
      <c r="P16" s="217"/>
      <c r="Q16" s="378"/>
      <c r="R16" s="378"/>
      <c r="S16" s="378"/>
      <c r="T16" s="217"/>
      <c r="U16" s="350"/>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row>
    <row r="17" spans="1:56" s="137" customFormat="1" ht="14.25" customHeight="1" x14ac:dyDescent="0.25">
      <c r="A17" s="217"/>
      <c r="B17" s="157"/>
      <c r="C17" s="369" t="s">
        <v>208</v>
      </c>
      <c r="D17" s="192"/>
      <c r="E17" s="369" t="s">
        <v>209</v>
      </c>
      <c r="F17" s="192"/>
      <c r="G17" s="369" t="s">
        <v>210</v>
      </c>
      <c r="H17" s="192"/>
      <c r="I17" s="369" t="s">
        <v>216</v>
      </c>
      <c r="J17" s="192"/>
      <c r="K17" s="371" t="s">
        <v>199</v>
      </c>
      <c r="L17" s="180"/>
      <c r="M17" s="162"/>
      <c r="N17" s="147"/>
      <c r="O17" s="147"/>
      <c r="P17" s="217"/>
      <c r="Q17" s="352"/>
      <c r="R17" s="352"/>
      <c r="S17" s="352"/>
      <c r="T17" s="217"/>
      <c r="U17" s="350"/>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row>
    <row r="18" spans="1:56" s="137" customFormat="1" ht="14.25" customHeight="1" x14ac:dyDescent="0.25">
      <c r="A18" s="217"/>
      <c r="B18" s="157"/>
      <c r="C18" s="369"/>
      <c r="D18" s="192"/>
      <c r="E18" s="369"/>
      <c r="F18" s="192"/>
      <c r="G18" s="369"/>
      <c r="H18" s="192"/>
      <c r="I18" s="369"/>
      <c r="J18" s="192"/>
      <c r="K18" s="371"/>
      <c r="L18" s="180"/>
      <c r="M18" s="162"/>
      <c r="N18" s="147"/>
      <c r="O18" s="147"/>
      <c r="P18" s="217"/>
      <c r="Q18" s="352"/>
      <c r="R18" s="352"/>
      <c r="S18" s="352"/>
      <c r="T18" s="217"/>
      <c r="U18" s="350"/>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row>
    <row r="19" spans="1:56" s="137" customFormat="1" ht="14.25" customHeight="1" x14ac:dyDescent="0.25">
      <c r="A19" s="217"/>
      <c r="B19" s="157"/>
      <c r="C19" s="180"/>
      <c r="D19" s="180"/>
      <c r="E19" s="180"/>
      <c r="F19" s="180"/>
      <c r="G19" s="180"/>
      <c r="H19" s="180"/>
      <c r="I19" s="180"/>
      <c r="J19" s="180"/>
      <c r="K19" s="185"/>
      <c r="L19" s="180"/>
      <c r="M19" s="162"/>
      <c r="N19" s="147"/>
      <c r="O19" s="147"/>
      <c r="P19" s="217"/>
      <c r="Q19" s="352" t="s">
        <v>256</v>
      </c>
      <c r="R19" s="352"/>
      <c r="S19" s="352"/>
      <c r="T19" s="217"/>
      <c r="U19" s="350"/>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row>
    <row r="20" spans="1:56" s="137" customFormat="1" ht="14.25" customHeight="1" x14ac:dyDescent="0.25">
      <c r="A20" s="217"/>
      <c r="B20" s="157"/>
      <c r="C20" s="366"/>
      <c r="D20" s="186"/>
      <c r="E20" s="367"/>
      <c r="F20" s="186"/>
      <c r="G20" s="363">
        <f>C20*E20</f>
        <v>0</v>
      </c>
      <c r="H20" s="186"/>
      <c r="I20" s="236"/>
      <c r="J20" s="186"/>
      <c r="K20" s="363" t="str">
        <f>IF('Verknüpfungen 1'!J26=TRUE,"2/3 ja","voll")</f>
        <v>voll</v>
      </c>
      <c r="L20" s="186"/>
      <c r="M20" s="363">
        <f>IF('Verknüpfungen 1'!H18=2,-1,IF('Verknüpfungen 1'!H18=4,-1,1))*ROUND(IF('Verknüpfungen 1'!J26=TRUE,2/3,1)*Pacht!G20,2)</f>
        <v>0</v>
      </c>
      <c r="N20" s="161"/>
      <c r="O20" s="161"/>
      <c r="P20" s="217"/>
      <c r="Q20" s="352"/>
      <c r="R20" s="352"/>
      <c r="S20" s="352"/>
      <c r="T20" s="217"/>
      <c r="U20" s="350"/>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row>
    <row r="21" spans="1:56" s="137" customFormat="1" ht="14.25" customHeight="1" x14ac:dyDescent="0.25">
      <c r="A21" s="217"/>
      <c r="B21" s="138"/>
      <c r="C21" s="366"/>
      <c r="D21" s="186"/>
      <c r="E21" s="367"/>
      <c r="F21" s="186"/>
      <c r="G21" s="363"/>
      <c r="H21" s="186"/>
      <c r="I21" s="237"/>
      <c r="J21" s="187"/>
      <c r="K21" s="363"/>
      <c r="L21" s="187"/>
      <c r="M21" s="363"/>
      <c r="N21" s="188"/>
      <c r="O21" s="188"/>
      <c r="P21" s="217"/>
      <c r="Q21" s="355" t="s">
        <v>295</v>
      </c>
      <c r="R21" s="355"/>
      <c r="S21" s="355"/>
      <c r="T21" s="217"/>
      <c r="U21" s="350"/>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row>
    <row r="22" spans="1:56" s="137" customFormat="1" ht="6" customHeight="1" x14ac:dyDescent="0.25">
      <c r="A22" s="217"/>
      <c r="B22" s="147"/>
      <c r="C22" s="193"/>
      <c r="D22" s="161"/>
      <c r="E22" s="161"/>
      <c r="F22" s="161"/>
      <c r="G22" s="161"/>
      <c r="H22" s="161"/>
      <c r="I22" s="161"/>
      <c r="J22" s="161"/>
      <c r="K22" s="161"/>
      <c r="L22" s="161"/>
      <c r="M22" s="162"/>
      <c r="N22" s="161"/>
      <c r="O22" s="161"/>
      <c r="P22" s="217"/>
      <c r="Q22" s="355"/>
      <c r="R22" s="355"/>
      <c r="S22" s="355"/>
      <c r="T22" s="217"/>
      <c r="U22" s="350"/>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row>
    <row r="23" spans="1:56" s="137" customFormat="1" ht="14.25" customHeight="1" x14ac:dyDescent="0.25">
      <c r="A23" s="217"/>
      <c r="B23" s="147"/>
      <c r="C23" s="368"/>
      <c r="D23" s="186"/>
      <c r="E23" s="367"/>
      <c r="F23" s="186"/>
      <c r="G23" s="363">
        <f>C23*E23</f>
        <v>0</v>
      </c>
      <c r="H23" s="186"/>
      <c r="I23" s="238"/>
      <c r="J23" s="186"/>
      <c r="K23" s="363" t="str">
        <f>IF('Verknüpfungen 1'!J27=TRUE,"2/3 ja","voll")</f>
        <v>voll</v>
      </c>
      <c r="L23" s="186"/>
      <c r="M23" s="363">
        <f>IF('Verknüpfungen 1'!H23=2,-1,IF('Verknüpfungen 1'!H23=4,-1,1))*ROUND(IF('Verknüpfungen 1'!J27=TRUE,2/3,1)*Pacht!G23,2)</f>
        <v>0</v>
      </c>
      <c r="N23" s="161"/>
      <c r="O23" s="161"/>
      <c r="P23" s="217"/>
      <c r="Q23" s="355"/>
      <c r="R23" s="355"/>
      <c r="S23" s="355"/>
      <c r="T23" s="217"/>
      <c r="U23" s="350"/>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row>
    <row r="24" spans="1:56" s="137" customFormat="1" ht="14.25" customHeight="1" x14ac:dyDescent="0.25">
      <c r="A24" s="217"/>
      <c r="B24" s="147"/>
      <c r="C24" s="366"/>
      <c r="D24" s="186"/>
      <c r="E24" s="367"/>
      <c r="F24" s="186"/>
      <c r="G24" s="363"/>
      <c r="H24" s="186"/>
      <c r="I24" s="239"/>
      <c r="J24" s="187"/>
      <c r="K24" s="363"/>
      <c r="L24" s="187"/>
      <c r="M24" s="363"/>
      <c r="N24" s="161"/>
      <c r="O24" s="161"/>
      <c r="P24" s="217"/>
      <c r="Q24" s="352" t="s">
        <v>288</v>
      </c>
      <c r="R24" s="352"/>
      <c r="S24" s="352"/>
      <c r="T24" s="217"/>
      <c r="U24" s="350"/>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row>
    <row r="25" spans="1:56" s="137" customFormat="1" ht="5.25" customHeight="1" x14ac:dyDescent="0.25">
      <c r="A25" s="217"/>
      <c r="B25" s="147"/>
      <c r="C25" s="193"/>
      <c r="D25" s="161"/>
      <c r="E25" s="161"/>
      <c r="F25" s="161"/>
      <c r="G25" s="161"/>
      <c r="H25" s="161"/>
      <c r="I25" s="161"/>
      <c r="J25" s="161"/>
      <c r="K25" s="161"/>
      <c r="L25" s="161"/>
      <c r="M25" s="162"/>
      <c r="N25" s="161"/>
      <c r="O25" s="161"/>
      <c r="P25" s="217"/>
      <c r="Q25" s="352"/>
      <c r="R25" s="352"/>
      <c r="S25" s="352"/>
      <c r="T25" s="217"/>
      <c r="U25" s="350"/>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row>
    <row r="26" spans="1:56" s="137" customFormat="1" ht="14.25" customHeight="1" x14ac:dyDescent="0.25">
      <c r="A26" s="217"/>
      <c r="B26" s="147"/>
      <c r="C26" s="366"/>
      <c r="D26" s="186"/>
      <c r="E26" s="367"/>
      <c r="F26" s="186"/>
      <c r="G26" s="363">
        <f>C26*E26</f>
        <v>0</v>
      </c>
      <c r="H26" s="186"/>
      <c r="I26" s="236"/>
      <c r="J26" s="186"/>
      <c r="K26" s="363" t="str">
        <f>IF('Verknüpfungen 1'!J28=TRUE,"2/3 ja","voll")</f>
        <v>voll</v>
      </c>
      <c r="L26" s="186"/>
      <c r="M26" s="363">
        <f>IF('Verknüpfungen 1'!H28=2,-1,IF('Verknüpfungen 1'!H28=4,-1,1))*ROUND(IF('Verknüpfungen 1'!J28=TRUE,2/3,1)*Pacht!G26,2)</f>
        <v>0</v>
      </c>
      <c r="N26" s="161"/>
      <c r="O26" s="161"/>
      <c r="P26" s="217"/>
      <c r="Q26" s="352"/>
      <c r="R26" s="352"/>
      <c r="S26" s="352"/>
      <c r="T26" s="217"/>
      <c r="U26" s="350"/>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row>
    <row r="27" spans="1:56" s="137" customFormat="1" ht="14.25" customHeight="1" x14ac:dyDescent="0.25">
      <c r="A27" s="217"/>
      <c r="B27" s="147"/>
      <c r="C27" s="366"/>
      <c r="D27" s="186"/>
      <c r="E27" s="367"/>
      <c r="F27" s="186"/>
      <c r="G27" s="363"/>
      <c r="H27" s="186"/>
      <c r="I27" s="237"/>
      <c r="J27" s="187"/>
      <c r="K27" s="363"/>
      <c r="L27" s="187"/>
      <c r="M27" s="363"/>
      <c r="N27" s="161"/>
      <c r="O27" s="161"/>
      <c r="P27" s="217"/>
      <c r="Q27" s="302"/>
      <c r="R27" s="302"/>
      <c r="S27" s="302"/>
      <c r="T27" s="217"/>
      <c r="U27" s="350"/>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7"/>
      <c r="BD27" s="217"/>
    </row>
    <row r="28" spans="1:56" s="137" customFormat="1" ht="5.25" customHeight="1" x14ac:dyDescent="0.25">
      <c r="A28" s="217"/>
      <c r="B28" s="147"/>
      <c r="C28" s="193"/>
      <c r="D28" s="161"/>
      <c r="E28" s="161"/>
      <c r="F28" s="161"/>
      <c r="G28" s="161"/>
      <c r="H28" s="161"/>
      <c r="I28" s="161"/>
      <c r="J28" s="161"/>
      <c r="K28" s="161"/>
      <c r="L28" s="161"/>
      <c r="M28" s="162"/>
      <c r="N28" s="161"/>
      <c r="O28" s="161"/>
      <c r="P28" s="217"/>
      <c r="Q28" s="302"/>
      <c r="R28" s="302"/>
      <c r="S28" s="302"/>
      <c r="T28" s="217"/>
      <c r="U28" s="350"/>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row>
    <row r="29" spans="1:56" s="137" customFormat="1" ht="14.25" customHeight="1" x14ac:dyDescent="0.25">
      <c r="A29" s="217"/>
      <c r="B29" s="173"/>
      <c r="C29" s="366"/>
      <c r="D29" s="186"/>
      <c r="E29" s="367"/>
      <c r="F29" s="186"/>
      <c r="G29" s="363">
        <f>C29*E29</f>
        <v>0</v>
      </c>
      <c r="H29" s="186"/>
      <c r="I29" s="236"/>
      <c r="J29" s="186"/>
      <c r="K29" s="363" t="str">
        <f>IF('Verknüpfungen 1'!J29=TRUE,"2/3 ja","voll")</f>
        <v>voll</v>
      </c>
      <c r="L29" s="186"/>
      <c r="M29" s="363">
        <f>IF('Verknüpfungen 1'!H33=2,-1,IF('Verknüpfungen 1'!H33=4,-1,1))*ROUND(IF('Verknüpfungen 1'!J29=TRUE,2/3,1)*Pacht!G29,2)</f>
        <v>0</v>
      </c>
      <c r="N29" s="161"/>
      <c r="O29" s="161"/>
      <c r="P29" s="217"/>
      <c r="Q29" s="302"/>
      <c r="R29" s="302"/>
      <c r="S29" s="302"/>
      <c r="T29" s="217"/>
      <c r="U29" s="350"/>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row>
    <row r="30" spans="1:56" s="137" customFormat="1" ht="14.25" customHeight="1" x14ac:dyDescent="0.25">
      <c r="A30" s="217"/>
      <c r="B30" s="166"/>
      <c r="C30" s="366"/>
      <c r="D30" s="186"/>
      <c r="E30" s="367"/>
      <c r="F30" s="186"/>
      <c r="G30" s="363"/>
      <c r="H30" s="186"/>
      <c r="I30" s="237"/>
      <c r="J30" s="187"/>
      <c r="K30" s="363"/>
      <c r="L30" s="187"/>
      <c r="M30" s="363"/>
      <c r="N30" s="188"/>
      <c r="O30" s="188"/>
      <c r="P30" s="217"/>
      <c r="Q30" s="302"/>
      <c r="R30" s="302"/>
      <c r="S30" s="302"/>
      <c r="T30" s="217"/>
      <c r="U30" s="350"/>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row>
    <row r="31" spans="1:56" s="137" customFormat="1" ht="5.25" customHeight="1" x14ac:dyDescent="0.25">
      <c r="A31" s="217"/>
      <c r="B31" s="147"/>
      <c r="C31" s="193"/>
      <c r="D31" s="161"/>
      <c r="E31" s="161"/>
      <c r="F31" s="161"/>
      <c r="G31" s="161"/>
      <c r="H31" s="161"/>
      <c r="I31" s="161"/>
      <c r="J31" s="161"/>
      <c r="K31" s="161"/>
      <c r="L31" s="161"/>
      <c r="M31" s="162"/>
      <c r="N31" s="161"/>
      <c r="O31" s="161"/>
      <c r="P31" s="217"/>
      <c r="Q31" s="302"/>
      <c r="R31" s="302"/>
      <c r="S31" s="302"/>
      <c r="T31" s="217"/>
      <c r="U31" s="350"/>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row>
    <row r="32" spans="1:56" s="137" customFormat="1" ht="14.25" customHeight="1" x14ac:dyDescent="0.25">
      <c r="A32" s="217"/>
      <c r="B32" s="147"/>
      <c r="C32" s="366"/>
      <c r="D32" s="186"/>
      <c r="E32" s="367"/>
      <c r="F32" s="186"/>
      <c r="G32" s="363">
        <f>C32*E32</f>
        <v>0</v>
      </c>
      <c r="H32" s="186"/>
      <c r="I32" s="236"/>
      <c r="J32" s="186"/>
      <c r="K32" s="363" t="str">
        <f>IF('Verknüpfungen 1'!J30=TRUE,"2/3 ja","voll")</f>
        <v>voll</v>
      </c>
      <c r="L32" s="186"/>
      <c r="M32" s="363">
        <f>IF('Verknüpfungen 1'!H38=2,-1,IF('Verknüpfungen 1'!H38=4,-1,1))*ROUND(IF('Verknüpfungen 1'!J30=TRUE,2/3,1)*Pacht!G32,2)</f>
        <v>0</v>
      </c>
      <c r="N32" s="161"/>
      <c r="O32" s="161"/>
      <c r="P32" s="217"/>
      <c r="Q32" s="302"/>
      <c r="R32" s="302"/>
      <c r="S32" s="302"/>
      <c r="T32" s="217"/>
      <c r="U32" s="350"/>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row>
    <row r="33" spans="1:56" s="137" customFormat="1" ht="14.25" customHeight="1" x14ac:dyDescent="0.25">
      <c r="A33" s="217"/>
      <c r="B33" s="147"/>
      <c r="C33" s="366"/>
      <c r="D33" s="186"/>
      <c r="E33" s="367"/>
      <c r="F33" s="186"/>
      <c r="G33" s="363"/>
      <c r="H33" s="186"/>
      <c r="I33" s="237"/>
      <c r="J33" s="187"/>
      <c r="K33" s="363"/>
      <c r="L33" s="187"/>
      <c r="M33" s="363"/>
      <c r="N33" s="161"/>
      <c r="O33" s="161"/>
      <c r="P33" s="217"/>
      <c r="Q33" s="302"/>
      <c r="R33" s="302"/>
      <c r="S33" s="302"/>
      <c r="T33" s="217"/>
      <c r="U33" s="350"/>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row>
    <row r="34" spans="1:56" s="137" customFormat="1" ht="6" customHeight="1" x14ac:dyDescent="0.25">
      <c r="A34" s="217"/>
      <c r="B34" s="147"/>
      <c r="C34" s="193"/>
      <c r="D34" s="161"/>
      <c r="E34" s="161"/>
      <c r="F34" s="161"/>
      <c r="G34" s="161"/>
      <c r="H34" s="161"/>
      <c r="I34" s="161"/>
      <c r="J34" s="161"/>
      <c r="K34" s="161"/>
      <c r="L34" s="161"/>
      <c r="M34" s="162"/>
      <c r="N34" s="161"/>
      <c r="O34" s="161"/>
      <c r="P34" s="217"/>
      <c r="Q34" s="302"/>
      <c r="R34" s="302"/>
      <c r="S34" s="302"/>
      <c r="T34" s="217"/>
      <c r="U34" s="350"/>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row>
    <row r="35" spans="1:56" s="137" customFormat="1" ht="14.25" customHeight="1" x14ac:dyDescent="0.25">
      <c r="A35" s="217"/>
      <c r="B35" s="138"/>
      <c r="C35" s="366"/>
      <c r="D35" s="186"/>
      <c r="E35" s="367"/>
      <c r="F35" s="186"/>
      <c r="G35" s="363">
        <f>C35*E35</f>
        <v>0</v>
      </c>
      <c r="H35" s="186"/>
      <c r="I35" s="236"/>
      <c r="J35" s="186"/>
      <c r="K35" s="363" t="str">
        <f>IF('Verknüpfungen 1'!J31=TRUE,"2/3 ja","voll")</f>
        <v>voll</v>
      </c>
      <c r="L35" s="186"/>
      <c r="M35" s="363">
        <f>IF('Verknüpfungen 1'!H43=2,-1,IF('Verknüpfungen 1'!H43=4,-1,1))*ROUND(IF('Verknüpfungen 1'!J31=TRUE,2/3,1)*Pacht!G35,2)</f>
        <v>0</v>
      </c>
      <c r="N35" s="189"/>
      <c r="O35" s="189"/>
      <c r="P35" s="217"/>
      <c r="Q35" s="302"/>
      <c r="R35" s="302"/>
      <c r="S35" s="302"/>
      <c r="T35" s="217"/>
      <c r="U35" s="350"/>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row>
    <row r="36" spans="1:56" s="137" customFormat="1" ht="14.25" customHeight="1" x14ac:dyDescent="0.25">
      <c r="A36" s="217"/>
      <c r="B36" s="155"/>
      <c r="C36" s="366"/>
      <c r="D36" s="186"/>
      <c r="E36" s="367"/>
      <c r="F36" s="186"/>
      <c r="G36" s="363"/>
      <c r="H36" s="186"/>
      <c r="I36" s="237"/>
      <c r="J36" s="187"/>
      <c r="K36" s="363"/>
      <c r="L36" s="187"/>
      <c r="M36" s="363"/>
      <c r="N36" s="161"/>
      <c r="O36" s="161"/>
      <c r="P36" s="234"/>
      <c r="Q36" s="302"/>
      <c r="R36" s="302"/>
      <c r="S36" s="302"/>
      <c r="T36" s="217"/>
      <c r="U36" s="350"/>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row>
    <row r="37" spans="1:56" ht="5.25" customHeight="1" x14ac:dyDescent="0.25">
      <c r="A37" s="218"/>
      <c r="B37" s="152"/>
      <c r="C37" s="189"/>
      <c r="D37" s="189"/>
      <c r="E37" s="189"/>
      <c r="F37" s="189"/>
      <c r="G37" s="189"/>
      <c r="H37" s="189"/>
      <c r="I37" s="189"/>
      <c r="J37" s="189"/>
      <c r="K37" s="189"/>
      <c r="L37" s="189"/>
      <c r="M37" s="189"/>
      <c r="N37" s="189"/>
      <c r="O37" s="161"/>
      <c r="P37" s="234"/>
      <c r="Q37" s="302"/>
      <c r="R37" s="302"/>
      <c r="S37" s="302"/>
      <c r="T37" s="218"/>
      <c r="U37" s="350"/>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row>
    <row r="38" spans="1:56" ht="14.25" customHeight="1" x14ac:dyDescent="0.25">
      <c r="A38" s="218"/>
      <c r="B38" s="138"/>
      <c r="C38" s="138"/>
      <c r="D38" s="138"/>
      <c r="E38" s="362" t="s">
        <v>217</v>
      </c>
      <c r="F38" s="362"/>
      <c r="G38" s="362"/>
      <c r="H38" s="362"/>
      <c r="I38" s="362"/>
      <c r="J38" s="362"/>
      <c r="K38" s="362"/>
      <c r="L38" s="138"/>
      <c r="M38" s="363">
        <f>SUM(M20:M36)</f>
        <v>0</v>
      </c>
      <c r="N38" s="138"/>
      <c r="O38" s="375" t="s">
        <v>219</v>
      </c>
      <c r="P38" s="375"/>
      <c r="Q38" s="375"/>
      <c r="R38" s="375"/>
      <c r="S38" s="218"/>
      <c r="T38" s="218"/>
      <c r="U38" s="350"/>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row>
    <row r="39" spans="1:56" ht="14.25" customHeight="1" x14ac:dyDescent="0.25">
      <c r="A39" s="218"/>
      <c r="B39" s="138"/>
      <c r="C39" s="138"/>
      <c r="D39" s="138"/>
      <c r="E39" s="362"/>
      <c r="F39" s="362"/>
      <c r="G39" s="362"/>
      <c r="H39" s="362"/>
      <c r="I39" s="362"/>
      <c r="J39" s="362"/>
      <c r="K39" s="362"/>
      <c r="L39" s="138"/>
      <c r="M39" s="363"/>
      <c r="N39" s="138"/>
      <c r="O39" s="375"/>
      <c r="P39" s="375"/>
      <c r="Q39" s="375"/>
      <c r="R39" s="375"/>
      <c r="S39" s="218"/>
      <c r="T39" s="218"/>
      <c r="U39" s="350"/>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row>
    <row r="40" spans="1:56" s="14" customFormat="1" ht="5.25" customHeight="1" x14ac:dyDescent="0.3">
      <c r="A40" s="219"/>
      <c r="B40" s="171"/>
      <c r="C40" s="171"/>
      <c r="D40" s="171"/>
      <c r="E40" s="171"/>
      <c r="F40" s="171"/>
      <c r="G40" s="171"/>
      <c r="H40" s="171"/>
      <c r="I40" s="171"/>
      <c r="J40" s="171"/>
      <c r="K40" s="171"/>
      <c r="L40" s="171"/>
      <c r="M40" s="171"/>
      <c r="N40" s="171"/>
      <c r="O40" s="375"/>
      <c r="P40" s="375"/>
      <c r="Q40" s="375"/>
      <c r="R40" s="375"/>
      <c r="S40" s="219"/>
      <c r="T40" s="219"/>
      <c r="U40" s="350"/>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row>
    <row r="41" spans="1:56" ht="14.25" customHeight="1" x14ac:dyDescent="0.25">
      <c r="A41" s="218"/>
      <c r="E41" s="374" t="s">
        <v>220</v>
      </c>
      <c r="F41" s="374"/>
      <c r="G41" s="374"/>
      <c r="H41" s="374"/>
      <c r="I41" s="374"/>
      <c r="J41" s="374"/>
      <c r="K41" s="374"/>
      <c r="M41" s="373"/>
      <c r="O41" s="375"/>
      <c r="P41" s="375"/>
      <c r="Q41" s="375"/>
      <c r="R41" s="375"/>
      <c r="S41" s="218"/>
      <c r="T41" s="218"/>
      <c r="U41" s="350"/>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row>
    <row r="42" spans="1:56" ht="14.25" customHeight="1" x14ac:dyDescent="0.25">
      <c r="A42" s="218"/>
      <c r="E42" s="374"/>
      <c r="F42" s="374"/>
      <c r="G42" s="374"/>
      <c r="H42" s="374"/>
      <c r="I42" s="374"/>
      <c r="J42" s="374"/>
      <c r="K42" s="374"/>
      <c r="M42" s="373"/>
      <c r="O42" s="375"/>
      <c r="P42" s="375"/>
      <c r="Q42" s="375"/>
      <c r="R42" s="375"/>
      <c r="S42" s="218"/>
      <c r="T42" s="218"/>
      <c r="U42" s="350"/>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row>
    <row r="43" spans="1:56" ht="5.25" customHeight="1" x14ac:dyDescent="0.25">
      <c r="A43" s="218"/>
      <c r="O43" s="375"/>
      <c r="P43" s="375"/>
      <c r="Q43" s="375"/>
      <c r="R43" s="375"/>
      <c r="S43" s="218"/>
      <c r="T43" s="218"/>
      <c r="U43" s="350"/>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row>
    <row r="44" spans="1:56" ht="14.25" customHeight="1" x14ac:dyDescent="0.25">
      <c r="A44" s="218"/>
      <c r="E44" s="362" t="s">
        <v>218</v>
      </c>
      <c r="F44" s="362"/>
      <c r="G44" s="362"/>
      <c r="H44" s="362"/>
      <c r="I44" s="362"/>
      <c r="J44" s="362"/>
      <c r="K44" s="362"/>
      <c r="M44" s="363">
        <f>M38+M41</f>
        <v>0</v>
      </c>
      <c r="O44" s="375"/>
      <c r="P44" s="375"/>
      <c r="Q44" s="375"/>
      <c r="R44" s="375"/>
      <c r="S44" s="218"/>
      <c r="T44" s="218"/>
      <c r="U44" s="350"/>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row>
    <row r="45" spans="1:56" ht="14.25" customHeight="1" x14ac:dyDescent="0.25">
      <c r="A45" s="218"/>
      <c r="E45" s="362"/>
      <c r="F45" s="362"/>
      <c r="G45" s="362"/>
      <c r="H45" s="362"/>
      <c r="I45" s="362"/>
      <c r="J45" s="362"/>
      <c r="K45" s="362"/>
      <c r="M45" s="363"/>
      <c r="O45" s="161"/>
      <c r="P45" s="234"/>
      <c r="Q45" s="234"/>
      <c r="R45" s="234"/>
      <c r="S45" s="218"/>
      <c r="T45" s="218"/>
      <c r="U45" s="350"/>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row>
    <row r="46" spans="1:56" ht="14.25" customHeight="1" x14ac:dyDescent="0.25">
      <c r="A46" s="218"/>
      <c r="P46" s="218"/>
      <c r="Q46" s="218"/>
      <c r="R46" s="218"/>
      <c r="S46" s="218"/>
      <c r="T46" s="218"/>
      <c r="U46" s="350"/>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row>
    <row r="47" spans="1:56" ht="45" customHeight="1" x14ac:dyDescent="0.25">
      <c r="A47" s="218"/>
      <c r="B47" s="218"/>
      <c r="C47" s="218"/>
      <c r="D47" s="218"/>
      <c r="E47" s="218"/>
      <c r="F47" s="218"/>
      <c r="G47" s="218"/>
      <c r="H47" s="218"/>
      <c r="I47" s="218"/>
      <c r="J47" s="218"/>
      <c r="K47" s="218"/>
      <c r="L47" s="218"/>
      <c r="M47" s="218"/>
      <c r="N47" s="218"/>
      <c r="O47" s="220"/>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row>
    <row r="48" spans="1:56" ht="45" customHeight="1" x14ac:dyDescent="0.25">
      <c r="A48" s="218"/>
      <c r="B48" s="218"/>
      <c r="C48" s="218"/>
      <c r="D48" s="218"/>
      <c r="E48" s="218"/>
      <c r="F48" s="218"/>
      <c r="G48" s="218"/>
      <c r="H48" s="218"/>
      <c r="I48" s="218"/>
      <c r="J48" s="218"/>
      <c r="K48" s="218"/>
      <c r="L48" s="218"/>
      <c r="M48" s="218"/>
      <c r="N48" s="218"/>
      <c r="O48" s="220"/>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row>
    <row r="49" spans="1:56" ht="45" customHeight="1" x14ac:dyDescent="0.25">
      <c r="A49" s="218"/>
      <c r="B49" s="218"/>
      <c r="C49" s="218"/>
      <c r="D49" s="218"/>
      <c r="E49" s="218"/>
      <c r="F49" s="218"/>
      <c r="G49" s="218"/>
      <c r="H49" s="218"/>
      <c r="I49" s="218"/>
      <c r="J49" s="218"/>
      <c r="K49" s="218"/>
      <c r="L49" s="218"/>
      <c r="M49" s="218"/>
      <c r="N49" s="218"/>
      <c r="O49" s="220"/>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row>
    <row r="50" spans="1:56" ht="45" customHeight="1" x14ac:dyDescent="0.25">
      <c r="A50" s="218"/>
      <c r="B50" s="218"/>
      <c r="C50" s="218"/>
      <c r="D50" s="218"/>
      <c r="E50" s="218"/>
      <c r="F50" s="218"/>
      <c r="G50" s="218"/>
      <c r="H50" s="218"/>
      <c r="I50" s="218"/>
      <c r="J50" s="218"/>
      <c r="K50" s="218"/>
      <c r="L50" s="218"/>
      <c r="M50" s="218"/>
      <c r="N50" s="218"/>
      <c r="O50" s="220"/>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row>
    <row r="51" spans="1:56" ht="45" customHeight="1" x14ac:dyDescent="0.25">
      <c r="A51" s="218"/>
      <c r="B51" s="218"/>
      <c r="C51" s="218"/>
      <c r="D51" s="218"/>
      <c r="E51" s="218"/>
      <c r="F51" s="218"/>
      <c r="G51" s="218"/>
      <c r="H51" s="218"/>
      <c r="I51" s="218"/>
      <c r="J51" s="218"/>
      <c r="K51" s="218"/>
      <c r="L51" s="218"/>
      <c r="M51" s="218"/>
      <c r="N51" s="218"/>
      <c r="O51" s="220"/>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row>
    <row r="52" spans="1:56" ht="45" customHeight="1" x14ac:dyDescent="0.25">
      <c r="A52" s="218"/>
      <c r="B52" s="218"/>
      <c r="C52" s="218"/>
      <c r="D52" s="218"/>
      <c r="E52" s="218"/>
      <c r="F52" s="218"/>
      <c r="G52" s="218"/>
      <c r="H52" s="218"/>
      <c r="I52" s="218"/>
      <c r="J52" s="218"/>
      <c r="K52" s="218"/>
      <c r="L52" s="218"/>
      <c r="M52" s="218"/>
      <c r="N52" s="218"/>
      <c r="O52" s="220"/>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row>
    <row r="53" spans="1:56" ht="45" customHeight="1" x14ac:dyDescent="0.25">
      <c r="A53" s="218"/>
      <c r="B53" s="218"/>
      <c r="C53" s="218"/>
      <c r="D53" s="218"/>
      <c r="E53" s="218"/>
      <c r="F53" s="218"/>
      <c r="G53" s="218"/>
      <c r="H53" s="218"/>
      <c r="I53" s="218"/>
      <c r="J53" s="218"/>
      <c r="K53" s="218"/>
      <c r="L53" s="218"/>
      <c r="M53" s="218"/>
      <c r="N53" s="218"/>
      <c r="O53" s="220"/>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row>
    <row r="54" spans="1:56" ht="45" customHeight="1" x14ac:dyDescent="0.25">
      <c r="A54" s="218"/>
      <c r="B54" s="218"/>
      <c r="C54" s="218"/>
      <c r="D54" s="218"/>
      <c r="E54" s="218"/>
      <c r="F54" s="218"/>
      <c r="G54" s="218"/>
      <c r="H54" s="218"/>
      <c r="I54" s="218"/>
      <c r="J54" s="218"/>
      <c r="K54" s="218"/>
      <c r="L54" s="218"/>
      <c r="M54" s="218"/>
      <c r="N54" s="218"/>
      <c r="O54" s="220"/>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row>
    <row r="55" spans="1:56" ht="45" customHeight="1" x14ac:dyDescent="0.25">
      <c r="A55" s="218"/>
      <c r="B55" s="218"/>
      <c r="C55" s="218"/>
      <c r="D55" s="218"/>
      <c r="E55" s="218"/>
      <c r="F55" s="218"/>
      <c r="G55" s="218"/>
      <c r="H55" s="218"/>
      <c r="I55" s="218"/>
      <c r="J55" s="218"/>
      <c r="K55" s="218"/>
      <c r="L55" s="218"/>
      <c r="M55" s="218"/>
      <c r="N55" s="218"/>
      <c r="O55" s="220"/>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row>
    <row r="56" spans="1:56" ht="45" customHeight="1" x14ac:dyDescent="0.25">
      <c r="A56" s="218"/>
      <c r="B56" s="218"/>
      <c r="C56" s="218"/>
      <c r="D56" s="218"/>
      <c r="E56" s="218"/>
      <c r="F56" s="218"/>
      <c r="G56" s="218"/>
      <c r="H56" s="218"/>
      <c r="I56" s="218"/>
      <c r="J56" s="218"/>
      <c r="K56" s="218"/>
      <c r="L56" s="218"/>
      <c r="M56" s="218"/>
      <c r="N56" s="218"/>
      <c r="O56" s="220"/>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row>
    <row r="57" spans="1:56" ht="45" customHeight="1" x14ac:dyDescent="0.25">
      <c r="A57" s="218"/>
      <c r="B57" s="218"/>
      <c r="C57" s="218"/>
      <c r="D57" s="218"/>
      <c r="E57" s="218"/>
      <c r="F57" s="218"/>
      <c r="G57" s="218"/>
      <c r="H57" s="218"/>
      <c r="I57" s="218"/>
      <c r="J57" s="218"/>
      <c r="K57" s="218"/>
      <c r="L57" s="218"/>
      <c r="M57" s="218"/>
      <c r="N57" s="218"/>
      <c r="O57" s="220"/>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row>
    <row r="58" spans="1:56" ht="45" customHeight="1" x14ac:dyDescent="0.25">
      <c r="A58" s="218"/>
      <c r="B58" s="218"/>
      <c r="C58" s="218"/>
      <c r="D58" s="218"/>
      <c r="E58" s="218"/>
      <c r="F58" s="218"/>
      <c r="G58" s="218"/>
      <c r="H58" s="218"/>
      <c r="I58" s="218"/>
      <c r="J58" s="218"/>
      <c r="K58" s="218"/>
      <c r="L58" s="218"/>
      <c r="M58" s="218"/>
      <c r="N58" s="218"/>
      <c r="O58" s="220"/>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row>
    <row r="59" spans="1:56" ht="45" customHeight="1" x14ac:dyDescent="0.25">
      <c r="A59" s="218"/>
      <c r="B59" s="218"/>
      <c r="C59" s="218"/>
      <c r="D59" s="218"/>
      <c r="E59" s="218"/>
      <c r="F59" s="218"/>
      <c r="G59" s="218"/>
      <c r="H59" s="218"/>
      <c r="I59" s="218"/>
      <c r="J59" s="218"/>
      <c r="K59" s="218"/>
      <c r="L59" s="218"/>
      <c r="M59" s="218"/>
      <c r="N59" s="218"/>
      <c r="O59" s="220"/>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row>
    <row r="60" spans="1:56" ht="45" customHeight="1" x14ac:dyDescent="0.25">
      <c r="A60" s="218"/>
      <c r="B60" s="218"/>
      <c r="C60" s="218"/>
      <c r="D60" s="218"/>
      <c r="E60" s="218"/>
      <c r="F60" s="218"/>
      <c r="G60" s="218"/>
      <c r="H60" s="218"/>
      <c r="I60" s="218"/>
      <c r="J60" s="218"/>
      <c r="K60" s="218"/>
      <c r="L60" s="218"/>
      <c r="M60" s="218"/>
      <c r="N60" s="218"/>
      <c r="O60" s="220"/>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row>
    <row r="61" spans="1:56" ht="45" customHeight="1" x14ac:dyDescent="0.25">
      <c r="A61" s="218"/>
      <c r="B61" s="218"/>
      <c r="C61" s="218"/>
      <c r="D61" s="218"/>
      <c r="E61" s="218"/>
      <c r="F61" s="218"/>
      <c r="G61" s="218"/>
      <c r="H61" s="218"/>
      <c r="I61" s="218"/>
      <c r="J61" s="218"/>
      <c r="K61" s="218"/>
      <c r="L61" s="218"/>
      <c r="M61" s="218"/>
      <c r="N61" s="218"/>
      <c r="O61" s="220"/>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row>
    <row r="62" spans="1:56" ht="45" customHeight="1" x14ac:dyDescent="0.25">
      <c r="A62" s="218"/>
      <c r="B62" s="218"/>
      <c r="C62" s="218"/>
      <c r="D62" s="218"/>
      <c r="E62" s="218"/>
      <c r="F62" s="218"/>
      <c r="G62" s="218"/>
      <c r="H62" s="218"/>
      <c r="I62" s="218"/>
      <c r="J62" s="218"/>
      <c r="K62" s="218"/>
      <c r="L62" s="218"/>
      <c r="M62" s="218"/>
      <c r="N62" s="218"/>
      <c r="O62" s="220"/>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row>
    <row r="63" spans="1:56" ht="45" customHeight="1" x14ac:dyDescent="0.25">
      <c r="A63" s="218"/>
      <c r="B63" s="218"/>
      <c r="C63" s="218"/>
      <c r="D63" s="218"/>
      <c r="E63" s="218"/>
      <c r="F63" s="218"/>
      <c r="G63" s="218"/>
      <c r="H63" s="218"/>
      <c r="I63" s="218"/>
      <c r="J63" s="218"/>
      <c r="K63" s="218"/>
      <c r="L63" s="218"/>
      <c r="M63" s="218"/>
      <c r="N63" s="218"/>
      <c r="O63" s="220"/>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row>
    <row r="64" spans="1:56" ht="45" customHeight="1" x14ac:dyDescent="0.25">
      <c r="A64" s="218"/>
      <c r="B64" s="218"/>
      <c r="C64" s="218"/>
      <c r="D64" s="218"/>
      <c r="E64" s="218"/>
      <c r="F64" s="218"/>
      <c r="G64" s="218"/>
      <c r="H64" s="218"/>
      <c r="I64" s="218"/>
      <c r="J64" s="218"/>
      <c r="K64" s="218"/>
      <c r="L64" s="218"/>
      <c r="M64" s="218"/>
      <c r="N64" s="218"/>
      <c r="O64" s="220"/>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row>
    <row r="65" spans="1:56" ht="45" customHeight="1" x14ac:dyDescent="0.25">
      <c r="A65" s="218"/>
      <c r="B65" s="218"/>
      <c r="C65" s="218"/>
      <c r="D65" s="218"/>
      <c r="E65" s="218"/>
      <c r="F65" s="218"/>
      <c r="G65" s="218"/>
      <c r="H65" s="218"/>
      <c r="I65" s="218"/>
      <c r="J65" s="218"/>
      <c r="K65" s="218"/>
      <c r="L65" s="218"/>
      <c r="M65" s="218"/>
      <c r="N65" s="218"/>
      <c r="O65" s="220"/>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row>
    <row r="66" spans="1:56" ht="45" customHeight="1" x14ac:dyDescent="0.25">
      <c r="A66" s="218"/>
      <c r="B66" s="218"/>
      <c r="C66" s="218"/>
      <c r="D66" s="218"/>
      <c r="E66" s="218"/>
      <c r="F66" s="218"/>
      <c r="G66" s="218"/>
      <c r="H66" s="218"/>
      <c r="I66" s="218"/>
      <c r="J66" s="218"/>
      <c r="K66" s="218"/>
      <c r="L66" s="218"/>
      <c r="M66" s="218"/>
      <c r="N66" s="218"/>
      <c r="O66" s="220"/>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row>
    <row r="67" spans="1:56" ht="45" customHeight="1" x14ac:dyDescent="0.25">
      <c r="A67" s="218"/>
      <c r="B67" s="218"/>
      <c r="C67" s="218"/>
      <c r="D67" s="218"/>
      <c r="E67" s="218"/>
      <c r="F67" s="218"/>
      <c r="G67" s="218"/>
      <c r="H67" s="218"/>
      <c r="I67" s="218"/>
      <c r="J67" s="218"/>
      <c r="K67" s="218"/>
      <c r="L67" s="218"/>
      <c r="M67" s="218"/>
      <c r="N67" s="218"/>
      <c r="O67" s="220"/>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row>
    <row r="68" spans="1:56" ht="45" customHeight="1" x14ac:dyDescent="0.25">
      <c r="A68" s="218"/>
      <c r="B68" s="218"/>
      <c r="C68" s="218"/>
      <c r="D68" s="218"/>
      <c r="E68" s="218"/>
      <c r="F68" s="218"/>
      <c r="G68" s="218"/>
      <c r="H68" s="218"/>
      <c r="I68" s="218"/>
      <c r="J68" s="218"/>
      <c r="K68" s="218"/>
      <c r="L68" s="218"/>
      <c r="M68" s="218"/>
      <c r="N68" s="218"/>
      <c r="O68" s="220"/>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row>
    <row r="69" spans="1:56" ht="45" customHeight="1" x14ac:dyDescent="0.25">
      <c r="A69" s="218"/>
      <c r="B69" s="218"/>
      <c r="C69" s="218"/>
      <c r="D69" s="218"/>
      <c r="E69" s="218"/>
      <c r="F69" s="218"/>
      <c r="G69" s="218"/>
      <c r="H69" s="218"/>
      <c r="I69" s="218"/>
      <c r="J69" s="218"/>
      <c r="K69" s="218"/>
      <c r="L69" s="218"/>
      <c r="M69" s="218"/>
      <c r="N69" s="218"/>
      <c r="O69" s="220"/>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row>
    <row r="70" spans="1:56" ht="45" customHeight="1" x14ac:dyDescent="0.25">
      <c r="A70" s="218"/>
      <c r="B70" s="218"/>
      <c r="C70" s="218"/>
      <c r="D70" s="218"/>
      <c r="E70" s="218"/>
      <c r="F70" s="218"/>
      <c r="G70" s="218"/>
      <c r="H70" s="218"/>
      <c r="I70" s="218"/>
      <c r="J70" s="218"/>
      <c r="K70" s="218"/>
      <c r="L70" s="218"/>
      <c r="M70" s="218"/>
      <c r="N70" s="218"/>
      <c r="O70" s="220"/>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row>
    <row r="71" spans="1:56" ht="45" customHeight="1" x14ac:dyDescent="0.25">
      <c r="A71" s="218"/>
      <c r="B71" s="218"/>
      <c r="C71" s="218"/>
      <c r="D71" s="218"/>
      <c r="E71" s="218"/>
      <c r="F71" s="218"/>
      <c r="G71" s="218"/>
      <c r="H71" s="218"/>
      <c r="I71" s="218"/>
      <c r="J71" s="218"/>
      <c r="K71" s="218"/>
      <c r="L71" s="218"/>
      <c r="M71" s="218"/>
      <c r="N71" s="218"/>
      <c r="O71" s="220"/>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row>
    <row r="72" spans="1:56" ht="45" customHeight="1" x14ac:dyDescent="0.25">
      <c r="A72" s="218"/>
      <c r="B72" s="218"/>
      <c r="C72" s="218"/>
      <c r="D72" s="218"/>
      <c r="E72" s="218"/>
      <c r="F72" s="218"/>
      <c r="G72" s="218"/>
      <c r="H72" s="218"/>
      <c r="I72" s="218"/>
      <c r="J72" s="218"/>
      <c r="K72" s="218"/>
      <c r="L72" s="218"/>
      <c r="M72" s="218"/>
      <c r="N72" s="218"/>
      <c r="O72" s="220"/>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row>
    <row r="73" spans="1:56" ht="45" customHeight="1" x14ac:dyDescent="0.25">
      <c r="A73" s="218"/>
      <c r="B73" s="218"/>
      <c r="C73" s="218"/>
      <c r="D73" s="218"/>
      <c r="E73" s="218"/>
      <c r="F73" s="218"/>
      <c r="G73" s="218"/>
      <c r="H73" s="218"/>
      <c r="I73" s="218"/>
      <c r="J73" s="218"/>
      <c r="K73" s="218"/>
      <c r="L73" s="218"/>
      <c r="M73" s="218"/>
      <c r="N73" s="218"/>
      <c r="O73" s="220"/>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row>
    <row r="74" spans="1:56" ht="45" customHeight="1" x14ac:dyDescent="0.25">
      <c r="A74" s="218"/>
      <c r="B74" s="218"/>
      <c r="C74" s="218"/>
      <c r="D74" s="218"/>
      <c r="E74" s="218"/>
      <c r="F74" s="218"/>
      <c r="G74" s="218"/>
      <c r="H74" s="218"/>
      <c r="I74" s="218"/>
      <c r="J74" s="218"/>
      <c r="K74" s="218"/>
      <c r="L74" s="218"/>
      <c r="M74" s="218"/>
      <c r="N74" s="218"/>
      <c r="O74" s="220"/>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row>
    <row r="75" spans="1:56" ht="45" customHeight="1" x14ac:dyDescent="0.25">
      <c r="A75" s="218"/>
      <c r="B75" s="218"/>
      <c r="C75" s="218"/>
      <c r="D75" s="218"/>
      <c r="E75" s="218"/>
      <c r="F75" s="218"/>
      <c r="G75" s="218"/>
      <c r="H75" s="218"/>
      <c r="I75" s="218"/>
      <c r="J75" s="218"/>
      <c r="K75" s="218"/>
      <c r="L75" s="218"/>
      <c r="M75" s="218"/>
      <c r="N75" s="218"/>
      <c r="O75" s="220"/>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row>
    <row r="76" spans="1:56" ht="45" customHeight="1" x14ac:dyDescent="0.25">
      <c r="A76" s="218"/>
      <c r="B76" s="218"/>
      <c r="C76" s="218"/>
      <c r="D76" s="218"/>
      <c r="E76" s="218"/>
      <c r="F76" s="218"/>
      <c r="G76" s="218"/>
      <c r="H76" s="218"/>
      <c r="I76" s="218"/>
      <c r="J76" s="218"/>
      <c r="K76" s="218"/>
      <c r="L76" s="218"/>
      <c r="M76" s="218"/>
      <c r="N76" s="218"/>
      <c r="O76" s="220"/>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row>
    <row r="77" spans="1:56" ht="45" customHeight="1" x14ac:dyDescent="0.25">
      <c r="A77" s="218"/>
      <c r="B77" s="218"/>
      <c r="C77" s="218"/>
      <c r="D77" s="218"/>
      <c r="E77" s="218"/>
      <c r="F77" s="218"/>
      <c r="G77" s="218"/>
      <c r="H77" s="218"/>
      <c r="I77" s="218"/>
      <c r="J77" s="218"/>
      <c r="K77" s="218"/>
      <c r="L77" s="218"/>
      <c r="M77" s="218"/>
      <c r="N77" s="218"/>
      <c r="O77" s="220"/>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row>
    <row r="78" spans="1:56" ht="45" customHeight="1" x14ac:dyDescent="0.25">
      <c r="A78" s="218"/>
      <c r="B78" s="218"/>
      <c r="C78" s="218"/>
      <c r="D78" s="218"/>
      <c r="E78" s="218"/>
      <c r="F78" s="218"/>
      <c r="G78" s="218"/>
      <c r="H78" s="218"/>
      <c r="I78" s="218"/>
      <c r="J78" s="218"/>
      <c r="K78" s="218"/>
      <c r="L78" s="218"/>
      <c r="M78" s="218"/>
      <c r="N78" s="218"/>
      <c r="O78" s="220"/>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row>
    <row r="79" spans="1:56" ht="45" customHeight="1" x14ac:dyDescent="0.25">
      <c r="A79" s="218"/>
      <c r="B79" s="218"/>
      <c r="C79" s="218"/>
      <c r="D79" s="218"/>
      <c r="E79" s="218"/>
      <c r="F79" s="218"/>
      <c r="G79" s="218"/>
      <c r="H79" s="218"/>
      <c r="I79" s="218"/>
      <c r="J79" s="218"/>
      <c r="K79" s="218"/>
      <c r="L79" s="218"/>
      <c r="M79" s="218"/>
      <c r="N79" s="218"/>
      <c r="O79" s="220"/>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row>
    <row r="80" spans="1:56" ht="45" customHeight="1" x14ac:dyDescent="0.25">
      <c r="A80" s="218"/>
      <c r="B80" s="218"/>
      <c r="C80" s="218"/>
      <c r="D80" s="218"/>
      <c r="E80" s="218"/>
      <c r="F80" s="218"/>
      <c r="G80" s="218"/>
      <c r="H80" s="218"/>
      <c r="I80" s="218"/>
      <c r="J80" s="218"/>
      <c r="K80" s="218"/>
      <c r="L80" s="218"/>
      <c r="M80" s="218"/>
      <c r="N80" s="218"/>
      <c r="O80" s="220"/>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row>
    <row r="81" spans="1:56" ht="45" customHeight="1" x14ac:dyDescent="0.25">
      <c r="A81" s="218"/>
      <c r="B81" s="218"/>
      <c r="C81" s="218"/>
      <c r="D81" s="218"/>
      <c r="E81" s="218"/>
      <c r="F81" s="218"/>
      <c r="G81" s="218"/>
      <c r="H81" s="218"/>
      <c r="I81" s="218"/>
      <c r="J81" s="218"/>
      <c r="K81" s="218"/>
      <c r="L81" s="218"/>
      <c r="M81" s="218"/>
      <c r="N81" s="218"/>
      <c r="O81" s="220"/>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row>
    <row r="82" spans="1:56" ht="45" customHeight="1" x14ac:dyDescent="0.25">
      <c r="A82" s="218"/>
      <c r="B82" s="218"/>
      <c r="C82" s="218"/>
      <c r="D82" s="218"/>
      <c r="E82" s="218"/>
      <c r="F82" s="218"/>
      <c r="G82" s="218"/>
      <c r="H82" s="218"/>
      <c r="I82" s="218"/>
      <c r="J82" s="218"/>
      <c r="K82" s="218"/>
      <c r="L82" s="218"/>
      <c r="M82" s="218"/>
      <c r="N82" s="218"/>
      <c r="O82" s="220"/>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row>
    <row r="83" spans="1:56" ht="45" customHeight="1" x14ac:dyDescent="0.25">
      <c r="A83" s="218"/>
      <c r="B83" s="218"/>
      <c r="C83" s="218"/>
      <c r="D83" s="218"/>
      <c r="E83" s="218"/>
      <c r="F83" s="218"/>
      <c r="G83" s="218"/>
      <c r="H83" s="218"/>
      <c r="I83" s="218"/>
      <c r="J83" s="218"/>
      <c r="K83" s="218"/>
      <c r="L83" s="218"/>
      <c r="M83" s="218"/>
      <c r="N83" s="218"/>
      <c r="O83" s="220"/>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row>
    <row r="84" spans="1:56" ht="45" customHeight="1" x14ac:dyDescent="0.25">
      <c r="A84" s="218"/>
      <c r="B84" s="218"/>
      <c r="C84" s="218"/>
      <c r="D84" s="218"/>
      <c r="E84" s="218"/>
      <c r="F84" s="218"/>
      <c r="G84" s="218"/>
      <c r="H84" s="218"/>
      <c r="I84" s="218"/>
      <c r="J84" s="218"/>
      <c r="K84" s="218"/>
      <c r="L84" s="218"/>
      <c r="M84" s="218"/>
      <c r="N84" s="218"/>
      <c r="O84" s="220"/>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row>
    <row r="85" spans="1:56" ht="45" customHeight="1" x14ac:dyDescent="0.25">
      <c r="A85" s="218"/>
      <c r="B85" s="218"/>
      <c r="C85" s="218"/>
      <c r="D85" s="218"/>
      <c r="E85" s="218"/>
      <c r="F85" s="218"/>
      <c r="G85" s="218"/>
      <c r="H85" s="218"/>
      <c r="I85" s="218"/>
      <c r="J85" s="218"/>
      <c r="K85" s="218"/>
      <c r="L85" s="218"/>
      <c r="M85" s="218"/>
      <c r="N85" s="218"/>
      <c r="O85" s="220"/>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row>
    <row r="86" spans="1:56" ht="45" customHeight="1" x14ac:dyDescent="0.25">
      <c r="A86" s="218"/>
      <c r="B86" s="218"/>
      <c r="C86" s="218"/>
      <c r="D86" s="218"/>
      <c r="E86" s="218"/>
      <c r="F86" s="218"/>
      <c r="G86" s="218"/>
      <c r="H86" s="218"/>
      <c r="I86" s="218"/>
      <c r="J86" s="218"/>
      <c r="K86" s="218"/>
      <c r="L86" s="218"/>
      <c r="M86" s="218"/>
      <c r="N86" s="218"/>
      <c r="O86" s="220"/>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row>
    <row r="87" spans="1:56" ht="45" customHeight="1" x14ac:dyDescent="0.25">
      <c r="A87" s="218"/>
      <c r="B87" s="218"/>
      <c r="C87" s="218"/>
      <c r="D87" s="218"/>
      <c r="E87" s="218"/>
      <c r="F87" s="218"/>
      <c r="G87" s="218"/>
      <c r="H87" s="218"/>
      <c r="I87" s="218"/>
      <c r="J87" s="218"/>
      <c r="K87" s="218"/>
      <c r="L87" s="218"/>
      <c r="M87" s="218"/>
      <c r="N87" s="218"/>
      <c r="O87" s="220"/>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row>
    <row r="88" spans="1:56" ht="45" customHeight="1" x14ac:dyDescent="0.25"/>
    <row r="89" spans="1:56" ht="45" customHeight="1" x14ac:dyDescent="0.25"/>
  </sheetData>
  <mergeCells count="68">
    <mergeCell ref="Q19:S20"/>
    <mergeCell ref="U7:U46"/>
    <mergeCell ref="O38:R44"/>
    <mergeCell ref="Q5:S5"/>
    <mergeCell ref="Q6:S6"/>
    <mergeCell ref="Q7:S8"/>
    <mergeCell ref="Q9:S10"/>
    <mergeCell ref="Q21:S23"/>
    <mergeCell ref="Q24:S26"/>
    <mergeCell ref="Q12:S12"/>
    <mergeCell ref="Q13:S14"/>
    <mergeCell ref="Q15:S16"/>
    <mergeCell ref="Q17:S18"/>
    <mergeCell ref="M41:M42"/>
    <mergeCell ref="M44:M45"/>
    <mergeCell ref="E38:K39"/>
    <mergeCell ref="E41:K42"/>
    <mergeCell ref="E44:K45"/>
    <mergeCell ref="M38:M39"/>
    <mergeCell ref="M35:M36"/>
    <mergeCell ref="O11:O13"/>
    <mergeCell ref="K17:K18"/>
    <mergeCell ref="M29:M30"/>
    <mergeCell ref="M32:M33"/>
    <mergeCell ref="M23:M24"/>
    <mergeCell ref="M26:M27"/>
    <mergeCell ref="M14:M15"/>
    <mergeCell ref="O14:O15"/>
    <mergeCell ref="K26:K27"/>
    <mergeCell ref="G11:K12"/>
    <mergeCell ref="M11:M12"/>
    <mergeCell ref="K29:K30"/>
    <mergeCell ref="K23:K24"/>
    <mergeCell ref="M20:M21"/>
    <mergeCell ref="K20:K21"/>
    <mergeCell ref="G17:G18"/>
    <mergeCell ref="I17:I18"/>
    <mergeCell ref="C29:C30"/>
    <mergeCell ref="E29:E30"/>
    <mergeCell ref="G29:G30"/>
    <mergeCell ref="G26:G27"/>
    <mergeCell ref="G20:G21"/>
    <mergeCell ref="G23:G24"/>
    <mergeCell ref="C32:C33"/>
    <mergeCell ref="E32:E33"/>
    <mergeCell ref="G32:G33"/>
    <mergeCell ref="K32:K33"/>
    <mergeCell ref="C35:C36"/>
    <mergeCell ref="E35:E36"/>
    <mergeCell ref="G35:G36"/>
    <mergeCell ref="K35:K36"/>
    <mergeCell ref="C12:C13"/>
    <mergeCell ref="E12:E13"/>
    <mergeCell ref="E14:E15"/>
    <mergeCell ref="C26:C27"/>
    <mergeCell ref="E26:E27"/>
    <mergeCell ref="C23:C24"/>
    <mergeCell ref="E23:E24"/>
    <mergeCell ref="C17:C18"/>
    <mergeCell ref="C20:C21"/>
    <mergeCell ref="E20:E21"/>
    <mergeCell ref="E17:E18"/>
    <mergeCell ref="B2:O2"/>
    <mergeCell ref="B3:O3"/>
    <mergeCell ref="I5:O5"/>
    <mergeCell ref="B6:O7"/>
    <mergeCell ref="G8:K9"/>
    <mergeCell ref="M8:M9"/>
  </mergeCells>
  <phoneticPr fontId="6" type="noConversion"/>
  <conditionalFormatting sqref="U5">
    <cfRule type="expression" dxfId="14" priority="3" stopIfTrue="1">
      <formula>IF(BE1=1,TRUE,FALSE)</formula>
    </cfRule>
  </conditionalFormatting>
  <conditionalFormatting sqref="U6">
    <cfRule type="expression" dxfId="13" priority="2" stopIfTrue="1">
      <formula>IF(BE1=1,TRUE,FALSE)</formula>
    </cfRule>
  </conditionalFormatting>
  <conditionalFormatting sqref="U7:U46">
    <cfRule type="expression" dxfId="12" priority="1" stopIfTrue="1">
      <formula>IF(BE1=1,TRUE,FALSE)</formula>
    </cfRule>
  </conditionalFormatting>
  <hyperlinks>
    <hyperlink ref="Q15" location="'Info &amp; Navigation'!A1" display="Einstiegsbildschirm"/>
    <hyperlink ref="Q19" location="'Beiträge aus EHW'!I5" display="Beiträge aus dem Einheitswert à"/>
    <hyperlink ref="Q24:S26" location="'Öffentliche Gelder'!A1" display="Info öffentliche Gelder"/>
    <hyperlink ref="Q21:Q22" location="Pacht!A1" display="Zu-/Verpachtung bzw. Zu-/Verkauf"/>
    <hyperlink ref="Q21:S23" location="EHW!E5" display="EHW!E5"/>
    <hyperlink ref="Q7:S8" location="'Internetfenster 1'!F6" display="Ausgangsbetrieb à"/>
    <hyperlink ref="Q9:S10" location="'Internetfenster 2'!A1" display="Vergleichsbetrieb à"/>
  </hyperlinks>
  <printOptions horizontalCentered="1"/>
  <pageMargins left="0.59055118110236227" right="0.59055118110236227" top="0.59055118110236227" bottom="0.59055118110236227" header="0.51181102362204722" footer="0.31496062992125984"/>
  <pageSetup paperSize="9" scale="91" orientation="landscape" r:id="rId1"/>
  <headerFooter alignWithMargins="0">
    <oddFooter>&amp;L&amp;8SVB-Beitragsberechnungsprogramm&amp;C&amp;8Bitte beachten: Die ermittelten Ergebnisse dienen lediglich der Information und sind unverbindlich!&amp;R&amp;8&amp;D</oddFooter>
  </headerFooter>
  <rowBreaks count="1" manualBreakCount="1">
    <brk id="40" min="1" max="20" man="1"/>
  </rowBreaks>
  <colBreaks count="1" manualBreakCount="1">
    <brk id="15" min="4"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26631" r:id="rId4" name="Drop Down 7">
              <controlPr defaultSize="0" autoLine="0" autoPict="0">
                <anchor moveWithCells="1">
                  <from>
                    <xdr:col>8</xdr:col>
                    <xdr:colOff>7620</xdr:colOff>
                    <xdr:row>19</xdr:row>
                    <xdr:rowOff>83820</xdr:rowOff>
                  </from>
                  <to>
                    <xdr:col>9</xdr:col>
                    <xdr:colOff>22860</xdr:colOff>
                    <xdr:row>20</xdr:row>
                    <xdr:rowOff>106680</xdr:rowOff>
                  </to>
                </anchor>
              </controlPr>
            </control>
          </mc:Choice>
        </mc:AlternateContent>
        <mc:AlternateContent xmlns:mc="http://schemas.openxmlformats.org/markup-compatibility/2006">
          <mc:Choice Requires="x14">
            <control shapeId="26633" r:id="rId5" name="Check Box 9">
              <controlPr defaultSize="0" autoFill="0" autoLine="0" autoPict="0">
                <anchor moveWithCells="1">
                  <from>
                    <xdr:col>10</xdr:col>
                    <xdr:colOff>22860</xdr:colOff>
                    <xdr:row>19</xdr:row>
                    <xdr:rowOff>76200</xdr:rowOff>
                  </from>
                  <to>
                    <xdr:col>10</xdr:col>
                    <xdr:colOff>327660</xdr:colOff>
                    <xdr:row>20</xdr:row>
                    <xdr:rowOff>114300</xdr:rowOff>
                  </to>
                </anchor>
              </controlPr>
            </control>
          </mc:Choice>
        </mc:AlternateContent>
        <mc:AlternateContent xmlns:mc="http://schemas.openxmlformats.org/markup-compatibility/2006">
          <mc:Choice Requires="x14">
            <control shapeId="26635" r:id="rId6" name="Drop Down 11">
              <controlPr defaultSize="0" autoLine="0" autoPict="0">
                <anchor moveWithCells="1">
                  <from>
                    <xdr:col>8</xdr:col>
                    <xdr:colOff>7620</xdr:colOff>
                    <xdr:row>22</xdr:row>
                    <xdr:rowOff>83820</xdr:rowOff>
                  </from>
                  <to>
                    <xdr:col>9</xdr:col>
                    <xdr:colOff>22860</xdr:colOff>
                    <xdr:row>23</xdr:row>
                    <xdr:rowOff>106680</xdr:rowOff>
                  </to>
                </anchor>
              </controlPr>
            </control>
          </mc:Choice>
        </mc:AlternateContent>
        <mc:AlternateContent xmlns:mc="http://schemas.openxmlformats.org/markup-compatibility/2006">
          <mc:Choice Requires="x14">
            <control shapeId="26636" r:id="rId7" name="Check Box 12">
              <controlPr defaultSize="0" autoFill="0" autoLine="0" autoPict="0">
                <anchor moveWithCells="1">
                  <from>
                    <xdr:col>10</xdr:col>
                    <xdr:colOff>22860</xdr:colOff>
                    <xdr:row>22</xdr:row>
                    <xdr:rowOff>76200</xdr:rowOff>
                  </from>
                  <to>
                    <xdr:col>10</xdr:col>
                    <xdr:colOff>327660</xdr:colOff>
                    <xdr:row>23</xdr:row>
                    <xdr:rowOff>114300</xdr:rowOff>
                  </to>
                </anchor>
              </controlPr>
            </control>
          </mc:Choice>
        </mc:AlternateContent>
        <mc:AlternateContent xmlns:mc="http://schemas.openxmlformats.org/markup-compatibility/2006">
          <mc:Choice Requires="x14">
            <control shapeId="26637" r:id="rId8" name="Drop Down 13">
              <controlPr defaultSize="0" autoLine="0" autoPict="0">
                <anchor moveWithCells="1">
                  <from>
                    <xdr:col>8</xdr:col>
                    <xdr:colOff>7620</xdr:colOff>
                    <xdr:row>25</xdr:row>
                    <xdr:rowOff>83820</xdr:rowOff>
                  </from>
                  <to>
                    <xdr:col>9</xdr:col>
                    <xdr:colOff>22860</xdr:colOff>
                    <xdr:row>26</xdr:row>
                    <xdr:rowOff>106680</xdr:rowOff>
                  </to>
                </anchor>
              </controlPr>
            </control>
          </mc:Choice>
        </mc:AlternateContent>
        <mc:AlternateContent xmlns:mc="http://schemas.openxmlformats.org/markup-compatibility/2006">
          <mc:Choice Requires="x14">
            <control shapeId="26638" r:id="rId9" name="Check Box 14">
              <controlPr defaultSize="0" autoFill="0" autoLine="0" autoPict="0">
                <anchor moveWithCells="1">
                  <from>
                    <xdr:col>10</xdr:col>
                    <xdr:colOff>22860</xdr:colOff>
                    <xdr:row>25</xdr:row>
                    <xdr:rowOff>76200</xdr:rowOff>
                  </from>
                  <to>
                    <xdr:col>10</xdr:col>
                    <xdr:colOff>327660</xdr:colOff>
                    <xdr:row>26</xdr:row>
                    <xdr:rowOff>114300</xdr:rowOff>
                  </to>
                </anchor>
              </controlPr>
            </control>
          </mc:Choice>
        </mc:AlternateContent>
        <mc:AlternateContent xmlns:mc="http://schemas.openxmlformats.org/markup-compatibility/2006">
          <mc:Choice Requires="x14">
            <control shapeId="26639" r:id="rId10" name="Drop Down 15">
              <controlPr defaultSize="0" autoLine="0" autoPict="0">
                <anchor moveWithCells="1">
                  <from>
                    <xdr:col>8</xdr:col>
                    <xdr:colOff>7620</xdr:colOff>
                    <xdr:row>28</xdr:row>
                    <xdr:rowOff>83820</xdr:rowOff>
                  </from>
                  <to>
                    <xdr:col>9</xdr:col>
                    <xdr:colOff>22860</xdr:colOff>
                    <xdr:row>29</xdr:row>
                    <xdr:rowOff>106680</xdr:rowOff>
                  </to>
                </anchor>
              </controlPr>
            </control>
          </mc:Choice>
        </mc:AlternateContent>
        <mc:AlternateContent xmlns:mc="http://schemas.openxmlformats.org/markup-compatibility/2006">
          <mc:Choice Requires="x14">
            <control shapeId="26640" r:id="rId11" name="Check Box 16">
              <controlPr defaultSize="0" autoFill="0" autoLine="0" autoPict="0">
                <anchor moveWithCells="1">
                  <from>
                    <xdr:col>10</xdr:col>
                    <xdr:colOff>22860</xdr:colOff>
                    <xdr:row>28</xdr:row>
                    <xdr:rowOff>76200</xdr:rowOff>
                  </from>
                  <to>
                    <xdr:col>10</xdr:col>
                    <xdr:colOff>327660</xdr:colOff>
                    <xdr:row>29</xdr:row>
                    <xdr:rowOff>114300</xdr:rowOff>
                  </to>
                </anchor>
              </controlPr>
            </control>
          </mc:Choice>
        </mc:AlternateContent>
        <mc:AlternateContent xmlns:mc="http://schemas.openxmlformats.org/markup-compatibility/2006">
          <mc:Choice Requires="x14">
            <control shapeId="26641" r:id="rId12" name="Drop Down 17">
              <controlPr defaultSize="0" autoLine="0" autoPict="0">
                <anchor moveWithCells="1">
                  <from>
                    <xdr:col>8</xdr:col>
                    <xdr:colOff>7620</xdr:colOff>
                    <xdr:row>31</xdr:row>
                    <xdr:rowOff>83820</xdr:rowOff>
                  </from>
                  <to>
                    <xdr:col>9</xdr:col>
                    <xdr:colOff>22860</xdr:colOff>
                    <xdr:row>32</xdr:row>
                    <xdr:rowOff>106680</xdr:rowOff>
                  </to>
                </anchor>
              </controlPr>
            </control>
          </mc:Choice>
        </mc:AlternateContent>
        <mc:AlternateContent xmlns:mc="http://schemas.openxmlformats.org/markup-compatibility/2006">
          <mc:Choice Requires="x14">
            <control shapeId="26642" r:id="rId13" name="Check Box 18">
              <controlPr defaultSize="0" autoFill="0" autoLine="0" autoPict="0">
                <anchor moveWithCells="1">
                  <from>
                    <xdr:col>10</xdr:col>
                    <xdr:colOff>22860</xdr:colOff>
                    <xdr:row>31</xdr:row>
                    <xdr:rowOff>76200</xdr:rowOff>
                  </from>
                  <to>
                    <xdr:col>10</xdr:col>
                    <xdr:colOff>327660</xdr:colOff>
                    <xdr:row>32</xdr:row>
                    <xdr:rowOff>114300</xdr:rowOff>
                  </to>
                </anchor>
              </controlPr>
            </control>
          </mc:Choice>
        </mc:AlternateContent>
        <mc:AlternateContent xmlns:mc="http://schemas.openxmlformats.org/markup-compatibility/2006">
          <mc:Choice Requires="x14">
            <control shapeId="26643" r:id="rId14" name="Drop Down 19">
              <controlPr defaultSize="0" autoLine="0" autoPict="0">
                <anchor moveWithCells="1">
                  <from>
                    <xdr:col>8</xdr:col>
                    <xdr:colOff>7620</xdr:colOff>
                    <xdr:row>34</xdr:row>
                    <xdr:rowOff>83820</xdr:rowOff>
                  </from>
                  <to>
                    <xdr:col>9</xdr:col>
                    <xdr:colOff>22860</xdr:colOff>
                    <xdr:row>35</xdr:row>
                    <xdr:rowOff>106680</xdr:rowOff>
                  </to>
                </anchor>
              </controlPr>
            </control>
          </mc:Choice>
        </mc:AlternateContent>
        <mc:AlternateContent xmlns:mc="http://schemas.openxmlformats.org/markup-compatibility/2006">
          <mc:Choice Requires="x14">
            <control shapeId="26644" r:id="rId15" name="Check Box 20">
              <controlPr defaultSize="0" autoFill="0" autoLine="0" autoPict="0">
                <anchor moveWithCells="1">
                  <from>
                    <xdr:col>10</xdr:col>
                    <xdr:colOff>22860</xdr:colOff>
                    <xdr:row>34</xdr:row>
                    <xdr:rowOff>76200</xdr:rowOff>
                  </from>
                  <to>
                    <xdr:col>10</xdr:col>
                    <xdr:colOff>327660</xdr:colOff>
                    <xdr:row>35</xdr:row>
                    <xdr:rowOff>114300</xdr:rowOff>
                  </to>
                </anchor>
              </controlPr>
            </control>
          </mc:Choice>
        </mc:AlternateContent>
        <mc:AlternateContent xmlns:mc="http://schemas.openxmlformats.org/markup-compatibility/2006">
          <mc:Choice Requires="x14">
            <control shapeId="26652" r:id="rId16" name="Check Box 28">
              <controlPr defaultSize="0" autoFill="0" autoLine="0" autoPict="0">
                <anchor moveWithCells="1">
                  <from>
                    <xdr:col>20</xdr:col>
                    <xdr:colOff>182880</xdr:colOff>
                    <xdr:row>0</xdr:row>
                    <xdr:rowOff>83820</xdr:rowOff>
                  </from>
                  <to>
                    <xdr:col>20</xdr:col>
                    <xdr:colOff>487680</xdr:colOff>
                    <xdr:row>2</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AP85"/>
  <sheetViews>
    <sheetView showGridLines="0" topLeftCell="A5" zoomScaleNormal="100" workbookViewId="0">
      <selection activeCell="R16" sqref="R16:R17"/>
    </sheetView>
  </sheetViews>
  <sheetFormatPr baseColWidth="10" defaultColWidth="11" defaultRowHeight="13.8" x14ac:dyDescent="0.25"/>
  <cols>
    <col min="1" max="1" width="11" style="134"/>
    <col min="2" max="2" width="19.59765625" style="134" customWidth="1"/>
    <col min="3" max="3" width="7.3984375" style="134" customWidth="1"/>
    <col min="4" max="4" width="12.8984375" style="134" customWidth="1"/>
    <col min="5" max="5" width="9.8984375" style="134" customWidth="1"/>
    <col min="6" max="6" width="4.09765625" style="134" customWidth="1"/>
    <col min="7" max="7" width="7.3984375" style="134" customWidth="1"/>
    <col min="8" max="8" width="11.3984375" style="134" customWidth="1"/>
    <col min="9" max="9" width="2.5" style="134" customWidth="1"/>
    <col min="10" max="10" width="6.69921875" style="134" customWidth="1"/>
    <col min="11" max="11" width="4.59765625" style="134" customWidth="1"/>
    <col min="12" max="12" width="10.59765625" style="134" customWidth="1"/>
    <col min="13" max="13" width="14.8984375" style="134" customWidth="1"/>
    <col min="14" max="14" width="4.59765625" style="134" customWidth="1"/>
    <col min="15" max="15" width="13.8984375" style="134" customWidth="1"/>
    <col min="16" max="16" width="11.8984375" style="135" customWidth="1"/>
    <col min="17" max="17" width="4.09765625" style="134" customWidth="1"/>
    <col min="18" max="18" width="30.59765625" style="134" customWidth="1"/>
    <col min="19" max="19" width="11" style="134"/>
    <col min="20" max="22" width="13.69921875" style="134" customWidth="1"/>
    <col min="23" max="16384" width="11" style="134"/>
  </cols>
  <sheetData>
    <row r="1" spans="1:42" x14ac:dyDescent="0.25">
      <c r="A1" s="213"/>
      <c r="B1" s="213"/>
      <c r="C1" s="213"/>
      <c r="D1" s="213"/>
      <c r="E1" s="213"/>
      <c r="F1" s="213"/>
      <c r="G1" s="213"/>
      <c r="H1" s="213"/>
      <c r="I1" s="213"/>
      <c r="J1" s="213"/>
      <c r="K1" s="213"/>
      <c r="L1" s="213"/>
      <c r="M1" s="213"/>
      <c r="N1" s="213"/>
      <c r="O1" s="213"/>
      <c r="P1" s="214"/>
      <c r="Q1" s="213"/>
      <c r="R1" s="213"/>
      <c r="S1" s="213"/>
      <c r="T1" s="213"/>
      <c r="U1" s="213"/>
      <c r="V1" s="213"/>
      <c r="W1" s="218"/>
      <c r="X1" s="218"/>
      <c r="Y1" s="218"/>
      <c r="Z1" s="218"/>
      <c r="AA1" s="218"/>
      <c r="AB1" s="218"/>
      <c r="AC1" s="218"/>
      <c r="AD1" s="218"/>
      <c r="AE1" s="218"/>
      <c r="AF1" s="218"/>
      <c r="AG1" s="218"/>
      <c r="AH1" s="218"/>
      <c r="AI1" s="218"/>
      <c r="AJ1" s="218"/>
      <c r="AK1" s="218"/>
      <c r="AL1" s="218"/>
      <c r="AM1" s="218"/>
      <c r="AN1" s="218"/>
      <c r="AO1" s="218"/>
      <c r="AP1" s="218"/>
    </row>
    <row r="2" spans="1:42" s="136" customFormat="1" ht="21" x14ac:dyDescent="0.25">
      <c r="A2" s="215"/>
      <c r="B2" s="359" t="s">
        <v>230</v>
      </c>
      <c r="C2" s="359"/>
      <c r="D2" s="359"/>
      <c r="E2" s="359"/>
      <c r="F2" s="359"/>
      <c r="G2" s="359"/>
      <c r="H2" s="359"/>
      <c r="I2" s="359"/>
      <c r="J2" s="359"/>
      <c r="K2" s="359"/>
      <c r="L2" s="359"/>
      <c r="M2" s="359"/>
      <c r="N2" s="359"/>
      <c r="O2" s="359"/>
      <c r="P2" s="359"/>
      <c r="Q2" s="215"/>
      <c r="R2" s="215"/>
      <c r="S2" s="215"/>
      <c r="T2" s="215"/>
      <c r="U2" s="215"/>
      <c r="V2" s="215"/>
      <c r="W2" s="216"/>
      <c r="X2" s="216"/>
      <c r="Y2" s="216"/>
      <c r="Z2" s="216"/>
      <c r="AA2" s="216"/>
      <c r="AB2" s="216"/>
      <c r="AC2" s="216"/>
      <c r="AD2" s="216"/>
      <c r="AE2" s="216"/>
      <c r="AF2" s="216"/>
      <c r="AG2" s="216"/>
      <c r="AH2" s="216"/>
      <c r="AI2" s="216"/>
      <c r="AJ2" s="216"/>
      <c r="AK2" s="216"/>
      <c r="AL2" s="216"/>
      <c r="AM2" s="216"/>
      <c r="AN2" s="216"/>
      <c r="AO2" s="216"/>
      <c r="AP2" s="216"/>
    </row>
    <row r="3" spans="1:42" s="136" customFormat="1" ht="21" x14ac:dyDescent="0.25">
      <c r="A3" s="215"/>
      <c r="B3" s="359" t="s">
        <v>131</v>
      </c>
      <c r="C3" s="359"/>
      <c r="D3" s="359"/>
      <c r="E3" s="359"/>
      <c r="F3" s="359"/>
      <c r="G3" s="359"/>
      <c r="H3" s="359"/>
      <c r="I3" s="359"/>
      <c r="J3" s="359"/>
      <c r="K3" s="359"/>
      <c r="L3" s="359"/>
      <c r="M3" s="359"/>
      <c r="N3" s="359"/>
      <c r="O3" s="359"/>
      <c r="P3" s="359"/>
      <c r="Q3" s="215"/>
      <c r="R3" s="215"/>
      <c r="S3" s="215"/>
      <c r="T3" s="215"/>
      <c r="U3" s="215"/>
      <c r="V3" s="215"/>
      <c r="W3" s="216"/>
      <c r="X3" s="216"/>
      <c r="Y3" s="216"/>
      <c r="Z3" s="216"/>
      <c r="AA3" s="216"/>
      <c r="AB3" s="216"/>
      <c r="AC3" s="216"/>
      <c r="AD3" s="216"/>
      <c r="AE3" s="216"/>
      <c r="AF3" s="216"/>
      <c r="AG3" s="216"/>
      <c r="AH3" s="216"/>
      <c r="AI3" s="216"/>
      <c r="AJ3" s="216"/>
      <c r="AK3" s="216"/>
      <c r="AL3" s="216"/>
      <c r="AM3" s="216"/>
      <c r="AN3" s="216"/>
      <c r="AO3" s="216"/>
      <c r="AP3" s="216"/>
    </row>
    <row r="4" spans="1:42" s="136" customFormat="1" ht="6" customHeight="1" x14ac:dyDescent="0.25">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row>
    <row r="5" spans="1:42" s="136" customFormat="1" ht="21" x14ac:dyDescent="0.25">
      <c r="A5" s="216"/>
      <c r="B5" s="216"/>
      <c r="C5" s="216"/>
      <c r="D5" s="216"/>
      <c r="E5" s="221"/>
      <c r="F5" s="221"/>
      <c r="G5" s="221"/>
      <c r="H5" s="360" t="s">
        <v>133</v>
      </c>
      <c r="I5" s="360"/>
      <c r="J5" s="360"/>
      <c r="K5" s="360"/>
      <c r="L5" s="360"/>
      <c r="M5" s="360"/>
      <c r="N5" s="360"/>
      <c r="O5" s="360"/>
      <c r="P5" s="360"/>
      <c r="Q5" s="216"/>
      <c r="R5" s="332" t="s">
        <v>261</v>
      </c>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row>
    <row r="6" spans="1:42" s="4" customFormat="1" ht="18" customHeight="1" x14ac:dyDescent="0.25">
      <c r="A6" s="222"/>
      <c r="B6" s="361" t="s">
        <v>307</v>
      </c>
      <c r="C6" s="361"/>
      <c r="D6" s="361"/>
      <c r="E6" s="361"/>
      <c r="F6" s="361"/>
      <c r="G6" s="361"/>
      <c r="H6" s="361"/>
      <c r="I6" s="361"/>
      <c r="J6" s="361"/>
      <c r="K6" s="361"/>
      <c r="L6" s="361" t="str">
        <f ca="1">"("&amp;'Verknüpfungen 1'!A6&amp;": UV "&amp;TEXT(VLOOKUP('Verknüpfungen 1'!A6,Wertedatenbank!A3:J21,Wertedatenbank!J22)*100,"##,00")&amp;"%, KV "&amp;TEXT(VLOOKUP('Verknüpfungen 1'!A6,Wertedatenbank!A3:J21,Wertedatenbank!H22)*100,"##,00")&amp;"%, PV "&amp;TEXT(VLOOKUP('Verknüpfungen 1'!A6,Wertedatenbank!A3:J21,Wertedatenbank!I22)*100,"##,00")&amp;"%) mit der sich für den land-"</f>
        <v>(2024: UV 1,90%, KV 6,80%, PV 17,00%) mit der sich für den land-</v>
      </c>
      <c r="M6" s="361"/>
      <c r="N6" s="361"/>
      <c r="O6" s="361"/>
      <c r="P6" s="361"/>
      <c r="Q6" s="222"/>
      <c r="R6" s="326" t="s">
        <v>247</v>
      </c>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row>
    <row r="7" spans="1:42" s="4" customFormat="1" ht="15.75" customHeight="1" x14ac:dyDescent="0.25">
      <c r="A7" s="222"/>
      <c r="B7" s="384" t="s">
        <v>308</v>
      </c>
      <c r="C7" s="384"/>
      <c r="D7" s="384"/>
      <c r="E7" s="384"/>
      <c r="F7" s="384"/>
      <c r="G7" s="384"/>
      <c r="H7" s="384"/>
      <c r="I7" s="384"/>
      <c r="J7" s="384"/>
      <c r="K7" s="384"/>
      <c r="L7" s="384"/>
      <c r="M7" s="384"/>
      <c r="N7" s="384"/>
      <c r="O7" s="384"/>
      <c r="P7" s="384"/>
      <c r="Q7" s="222"/>
      <c r="R7" s="352" t="s">
        <v>296</v>
      </c>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row>
    <row r="8" spans="1:42" s="137" customFormat="1" ht="21.9" customHeight="1" x14ac:dyDescent="0.25">
      <c r="A8" s="217"/>
      <c r="B8" s="361" t="s">
        <v>312</v>
      </c>
      <c r="C8" s="361"/>
      <c r="D8" s="361"/>
      <c r="E8" s="361"/>
      <c r="F8" s="361"/>
      <c r="G8" s="361"/>
      <c r="H8" s="361"/>
      <c r="I8" s="361"/>
      <c r="J8" s="361"/>
      <c r="K8" s="361"/>
      <c r="L8" s="361"/>
      <c r="M8" s="361"/>
      <c r="N8" s="361"/>
      <c r="O8" s="361"/>
      <c r="P8" s="361"/>
      <c r="Q8" s="217"/>
      <c r="R8" s="352"/>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row>
    <row r="9" spans="1:42" s="137" customFormat="1" ht="14.25" customHeight="1" x14ac:dyDescent="0.25">
      <c r="A9" s="217"/>
      <c r="B9" s="361"/>
      <c r="C9" s="361"/>
      <c r="D9" s="361"/>
      <c r="E9" s="361"/>
      <c r="F9" s="361"/>
      <c r="G9" s="361"/>
      <c r="H9" s="361"/>
      <c r="I9" s="361"/>
      <c r="J9" s="361"/>
      <c r="K9" s="361"/>
      <c r="L9" s="361"/>
      <c r="M9" s="361"/>
      <c r="N9" s="361"/>
      <c r="O9" s="361"/>
      <c r="P9" s="361"/>
      <c r="Q9" s="217"/>
      <c r="R9" s="301" t="s">
        <v>344</v>
      </c>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row>
    <row r="10" spans="1:42" s="137" customFormat="1" ht="14.25" customHeight="1" x14ac:dyDescent="0.25">
      <c r="A10" s="217"/>
      <c r="B10" s="361"/>
      <c r="C10" s="361"/>
      <c r="D10" s="361"/>
      <c r="E10" s="361"/>
      <c r="F10" s="361"/>
      <c r="G10" s="361"/>
      <c r="H10" s="361"/>
      <c r="I10" s="361"/>
      <c r="J10" s="361"/>
      <c r="K10" s="361"/>
      <c r="L10" s="361"/>
      <c r="M10" s="361"/>
      <c r="N10" s="361"/>
      <c r="O10" s="361"/>
      <c r="P10" s="361"/>
      <c r="Q10" s="217"/>
      <c r="R10" s="301"/>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row>
    <row r="11" spans="1:42" s="137" customFormat="1" ht="15" customHeight="1" x14ac:dyDescent="0.25">
      <c r="A11" s="217"/>
      <c r="B11" s="138"/>
      <c r="C11" s="138"/>
      <c r="D11" s="138"/>
      <c r="E11" s="138"/>
      <c r="F11" s="138"/>
      <c r="G11" s="138"/>
      <c r="H11" s="138"/>
      <c r="I11" s="138"/>
      <c r="J11" s="138"/>
      <c r="K11" s="387" t="s">
        <v>135</v>
      </c>
      <c r="L11" s="387"/>
      <c r="M11" s="384" t="s">
        <v>139</v>
      </c>
      <c r="N11" s="384"/>
      <c r="O11" s="384"/>
      <c r="P11" s="138"/>
      <c r="Q11" s="217"/>
      <c r="R11" s="355" t="s">
        <v>287</v>
      </c>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row>
    <row r="12" spans="1:42" s="137" customFormat="1" ht="14.25" customHeight="1" x14ac:dyDescent="0.25">
      <c r="A12" s="217"/>
      <c r="B12" s="394" t="s">
        <v>78</v>
      </c>
      <c r="C12" s="395"/>
      <c r="D12" s="396"/>
      <c r="E12" s="385" t="str">
        <f ca="1">"Prozentsatz "&amp;'Verknüpfungen 1'!A6</f>
        <v>Prozentsatz 2024</v>
      </c>
      <c r="F12" s="385"/>
      <c r="G12" s="385"/>
      <c r="H12" s="138"/>
      <c r="I12" s="138"/>
      <c r="J12" s="138"/>
      <c r="K12" s="138"/>
      <c r="L12" s="138"/>
      <c r="M12" s="138"/>
      <c r="N12" s="138"/>
      <c r="O12" s="138"/>
      <c r="P12" s="138"/>
      <c r="Q12" s="217"/>
      <c r="R12" s="355"/>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row>
    <row r="13" spans="1:42" s="137" customFormat="1" ht="14.25" customHeight="1" x14ac:dyDescent="0.25">
      <c r="A13" s="217"/>
      <c r="B13" s="224" t="s">
        <v>134</v>
      </c>
      <c r="C13" s="392" t="s">
        <v>53</v>
      </c>
      <c r="D13" s="393"/>
      <c r="E13" s="385"/>
      <c r="F13" s="385"/>
      <c r="G13" s="385"/>
      <c r="H13" s="138"/>
      <c r="I13" s="138"/>
      <c r="J13" s="138"/>
      <c r="K13" s="388" t="s">
        <v>136</v>
      </c>
      <c r="L13" s="389"/>
      <c r="M13" s="225" t="s">
        <v>137</v>
      </c>
      <c r="N13" s="388" t="s">
        <v>138</v>
      </c>
      <c r="O13" s="389"/>
      <c r="P13" s="138"/>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row>
    <row r="14" spans="1:42" s="137" customFormat="1" ht="14.25" customHeight="1" x14ac:dyDescent="0.25">
      <c r="A14" s="217"/>
      <c r="B14" s="140">
        <v>0</v>
      </c>
      <c r="C14" s="380">
        <f>'Berechnung 1'!B3</f>
        <v>5000</v>
      </c>
      <c r="D14" s="381"/>
      <c r="E14" s="379">
        <f ca="1">VLOOKUP('Verknüpfungen 1'!$A$6,Wertedatenbank!$A$3:$V$21,Wertedatenbank!$N$22)/100</f>
        <v>0.23350020000000002</v>
      </c>
      <c r="F14" s="379"/>
      <c r="G14" s="379"/>
      <c r="H14" s="138"/>
      <c r="I14" s="138"/>
      <c r="J14" s="138"/>
      <c r="K14" s="380">
        <f>C14</f>
        <v>5000</v>
      </c>
      <c r="L14" s="381"/>
      <c r="M14" s="142">
        <f t="shared" ref="M14:M19" ca="1" si="0">E14</f>
        <v>0.23350020000000002</v>
      </c>
      <c r="N14" s="382">
        <f t="shared" ref="N14:N19" ca="1" si="1">K14*M14</f>
        <v>1167.5010000000002</v>
      </c>
      <c r="O14" s="383"/>
      <c r="P14" s="138"/>
      <c r="Q14" s="217"/>
      <c r="R14" s="243" t="s">
        <v>261</v>
      </c>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row>
    <row r="15" spans="1:42" s="137" customFormat="1" ht="14.25" customHeight="1" x14ac:dyDescent="0.25">
      <c r="A15" s="217"/>
      <c r="B15" s="141">
        <f>'Berechnung 1'!A4</f>
        <v>5100</v>
      </c>
      <c r="C15" s="380">
        <f>'Berechnung 1'!B4</f>
        <v>8700</v>
      </c>
      <c r="D15" s="381"/>
      <c r="E15" s="379">
        <f ca="1">VLOOKUP('Verknüpfungen 1'!$A$6,Wertedatenbank!$A$3:$V$21,Wertedatenbank!$O$22)/100</f>
        <v>0.25944500000000004</v>
      </c>
      <c r="F15" s="379"/>
      <c r="G15" s="379"/>
      <c r="H15" s="138"/>
      <c r="I15" s="138"/>
      <c r="J15" s="138"/>
      <c r="K15" s="380">
        <f>C15-C14</f>
        <v>3700</v>
      </c>
      <c r="L15" s="381"/>
      <c r="M15" s="142">
        <f t="shared" ca="1" si="0"/>
        <v>0.25944500000000004</v>
      </c>
      <c r="N15" s="382">
        <f t="shared" ca="1" si="1"/>
        <v>959.94650000000013</v>
      </c>
      <c r="O15" s="383"/>
      <c r="P15" s="138"/>
      <c r="Q15" s="217"/>
      <c r="R15" s="243" t="s">
        <v>132</v>
      </c>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row>
    <row r="16" spans="1:42" s="137" customFormat="1" ht="14.25" customHeight="1" x14ac:dyDescent="0.25">
      <c r="A16" s="217"/>
      <c r="B16" s="141">
        <f>'Berechnung 1'!A5</f>
        <v>8800</v>
      </c>
      <c r="C16" s="380">
        <f>'Berechnung 1'!B5</f>
        <v>10900</v>
      </c>
      <c r="D16" s="381"/>
      <c r="E16" s="379">
        <f ca="1">VLOOKUP('Verknüpfungen 1'!$A$6,Wertedatenbank!$A$3:$V$21,Wertedatenbank!$P$22)/100</f>
        <v>0.21079879999999998</v>
      </c>
      <c r="F16" s="379"/>
      <c r="G16" s="379"/>
      <c r="H16" s="138"/>
      <c r="I16" s="138"/>
      <c r="J16" s="138"/>
      <c r="K16" s="380">
        <f>C16-C15</f>
        <v>2200</v>
      </c>
      <c r="L16" s="381"/>
      <c r="M16" s="142">
        <f t="shared" ca="1" si="0"/>
        <v>0.21079879999999998</v>
      </c>
      <c r="N16" s="382">
        <f t="shared" ca="1" si="1"/>
        <v>463.75735999999995</v>
      </c>
      <c r="O16" s="383"/>
      <c r="P16" s="138"/>
      <c r="Q16" s="217"/>
      <c r="R16" s="378" t="s">
        <v>327</v>
      </c>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row>
    <row r="17" spans="1:42" s="137" customFormat="1" ht="14.25" customHeight="1" x14ac:dyDescent="0.25">
      <c r="A17" s="217"/>
      <c r="B17" s="141">
        <f>'Berechnung 1'!A6</f>
        <v>11000</v>
      </c>
      <c r="C17" s="380">
        <f>'Berechnung 1'!B6</f>
        <v>14500</v>
      </c>
      <c r="D17" s="381"/>
      <c r="E17" s="379">
        <f ca="1">VLOOKUP('Verknüpfungen 1'!$A$6,Wertedatenbank!$A$3:$V$21,Wertedatenbank!$Q$22)/100</f>
        <v>0.14593809999999999</v>
      </c>
      <c r="F17" s="379"/>
      <c r="G17" s="379"/>
      <c r="H17" s="138"/>
      <c r="I17" s="138"/>
      <c r="J17" s="138"/>
      <c r="K17" s="380">
        <f>C17-C16</f>
        <v>3600</v>
      </c>
      <c r="L17" s="381"/>
      <c r="M17" s="142">
        <f t="shared" ca="1" si="0"/>
        <v>0.14593809999999999</v>
      </c>
      <c r="N17" s="382">
        <f t="shared" ca="1" si="1"/>
        <v>525.37716</v>
      </c>
      <c r="O17" s="383"/>
      <c r="P17" s="138"/>
      <c r="Q17" s="217"/>
      <c r="R17" s="378"/>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row>
    <row r="18" spans="1:42" s="137" customFormat="1" ht="14.25" customHeight="1" x14ac:dyDescent="0.25">
      <c r="A18" s="217"/>
      <c r="B18" s="141">
        <f>'Berechnung 1'!A7</f>
        <v>14600</v>
      </c>
      <c r="C18" s="380">
        <f>'Berechnung 1'!B7</f>
        <v>21800</v>
      </c>
      <c r="D18" s="381"/>
      <c r="E18" s="379">
        <f ca="1">VLOOKUP('Verknüpfungen 1'!$A$6,Wertedatenbank!$A$3:$V$21,Wertedatenbank!$R$22)/100</f>
        <v>0.1183719</v>
      </c>
      <c r="F18" s="379"/>
      <c r="G18" s="379"/>
      <c r="H18" s="138"/>
      <c r="I18" s="138"/>
      <c r="J18" s="138"/>
      <c r="K18" s="380">
        <f>C18-C17</f>
        <v>7300</v>
      </c>
      <c r="L18" s="381"/>
      <c r="M18" s="142">
        <f t="shared" ca="1" si="0"/>
        <v>0.1183719</v>
      </c>
      <c r="N18" s="382">
        <f t="shared" ca="1" si="1"/>
        <v>864.11487</v>
      </c>
      <c r="O18" s="383"/>
      <c r="P18" s="138"/>
      <c r="Q18" s="217"/>
      <c r="R18" s="301" t="s">
        <v>293</v>
      </c>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row>
    <row r="19" spans="1:42" s="137" customFormat="1" ht="14.25" customHeight="1" x14ac:dyDescent="0.25">
      <c r="A19" s="217"/>
      <c r="B19" s="141">
        <f>'Berechnung 1'!A8</f>
        <v>21900</v>
      </c>
      <c r="C19" s="380">
        <f>'Berechnung 1'!B8</f>
        <v>29000</v>
      </c>
      <c r="D19" s="381"/>
      <c r="E19" s="379">
        <f ca="1">VLOOKUP('Verknüpfungen 1'!$A$6,Wertedatenbank!$A$3:$V$21,Wertedatenbank!$S$22)/100</f>
        <v>8.7563000000000002E-2</v>
      </c>
      <c r="F19" s="379"/>
      <c r="G19" s="379"/>
      <c r="H19" s="138"/>
      <c r="I19" s="138"/>
      <c r="J19" s="138"/>
      <c r="K19" s="380">
        <f>22500-C18</f>
        <v>700</v>
      </c>
      <c r="L19" s="381"/>
      <c r="M19" s="142">
        <f t="shared" ca="1" si="0"/>
        <v>8.7563000000000002E-2</v>
      </c>
      <c r="N19" s="382">
        <f t="shared" ca="1" si="1"/>
        <v>61.2941</v>
      </c>
      <c r="O19" s="383"/>
      <c r="P19" s="138"/>
      <c r="Q19" s="217"/>
      <c r="R19" s="333"/>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row>
    <row r="20" spans="1:42" s="137" customFormat="1" ht="14.25" customHeight="1" x14ac:dyDescent="0.25">
      <c r="A20" s="217"/>
      <c r="B20" s="141">
        <f>'Berechnung 1'!A9</f>
        <v>29100</v>
      </c>
      <c r="C20" s="380">
        <f>'Berechnung 1'!B9</f>
        <v>36300</v>
      </c>
      <c r="D20" s="381"/>
      <c r="E20" s="379">
        <f ca="1">VLOOKUP('Verknüpfungen 1'!$A$6,Wertedatenbank!$A$3:$V$21,Wertedatenbank!$T$22)/100</f>
        <v>6.48614E-2</v>
      </c>
      <c r="F20" s="379"/>
      <c r="G20" s="379"/>
      <c r="H20" s="138"/>
      <c r="I20" s="138"/>
      <c r="J20" s="138"/>
      <c r="K20" s="138"/>
      <c r="L20" s="138"/>
      <c r="M20" s="138"/>
      <c r="N20" s="390">
        <f ca="1">SUM(N14:N19)</f>
        <v>4041.9909900000002</v>
      </c>
      <c r="O20" s="391"/>
      <c r="P20" s="138"/>
      <c r="Q20" s="217"/>
      <c r="R20" s="301" t="s">
        <v>306</v>
      </c>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row>
    <row r="21" spans="1:42" s="137" customFormat="1" ht="14.25" customHeight="1" x14ac:dyDescent="0.25">
      <c r="A21" s="217"/>
      <c r="B21" s="141">
        <f>'Berechnung 1'!A10</f>
        <v>36400</v>
      </c>
      <c r="C21" s="380">
        <f>'Berechnung 1'!B10</f>
        <v>43600</v>
      </c>
      <c r="D21" s="381"/>
      <c r="E21" s="379">
        <f ca="1">VLOOKUP('Verknüpfungen 1'!$A$6,Wertedatenbank!$A$3:$V$21,Wertedatenbank!$U$22)/100</f>
        <v>4.8646200000000001E-2</v>
      </c>
      <c r="F21" s="379"/>
      <c r="G21" s="379"/>
      <c r="H21" s="138"/>
      <c r="I21" s="138"/>
      <c r="J21" s="138"/>
      <c r="K21" s="384" t="s">
        <v>140</v>
      </c>
      <c r="L21" s="384"/>
      <c r="M21" s="384"/>
      <c r="N21" s="138"/>
      <c r="O21" s="138"/>
      <c r="P21" s="138"/>
      <c r="Q21" s="217"/>
      <c r="R21" s="301"/>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row>
    <row r="22" spans="1:42" s="137" customFormat="1" ht="14.25" customHeight="1" x14ac:dyDescent="0.25">
      <c r="A22" s="217"/>
      <c r="B22" s="141">
        <f>'Berechnung 1'!A11</f>
        <v>43700</v>
      </c>
      <c r="C22" s="380"/>
      <c r="D22" s="381"/>
      <c r="E22" s="379">
        <f ca="1">VLOOKUP('Verknüpfungen 1'!$A$6,Wertedatenbank!$A$3:$V$21,Wertedatenbank!$V$22)/100</f>
        <v>3.7295300000000003E-2</v>
      </c>
      <c r="F22" s="379"/>
      <c r="G22" s="379"/>
      <c r="H22" s="138"/>
      <c r="I22" s="138"/>
      <c r="J22" s="138"/>
      <c r="K22" s="384" t="str">
        <f ca="1">"beträgt bei einem EHW von € 22.500 im Jahr "&amp;'Verknüpfungen 1'!A6&amp;" € "&amp;TEXT('Beiträge aus EHW'!N20,"# ###,00")&amp;"."</f>
        <v>beträgt bei einem EHW von € 22.500 im Jahr 2024 € 4 041,99.</v>
      </c>
      <c r="L22" s="384"/>
      <c r="M22" s="384"/>
      <c r="N22" s="384"/>
      <c r="O22" s="384"/>
      <c r="P22" s="384"/>
      <c r="Q22" s="217"/>
      <c r="R22" s="355" t="s">
        <v>260</v>
      </c>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row>
    <row r="23" spans="1:42" s="137" customFormat="1" ht="14.25" customHeight="1" x14ac:dyDescent="0.25">
      <c r="A23" s="217"/>
      <c r="B23" s="138"/>
      <c r="C23" s="138"/>
      <c r="D23" s="138"/>
      <c r="E23" s="138"/>
      <c r="F23" s="138"/>
      <c r="G23" s="138"/>
      <c r="H23" s="138"/>
      <c r="I23" s="138"/>
      <c r="J23" s="138"/>
      <c r="K23" s="138"/>
      <c r="L23" s="138"/>
      <c r="M23" s="138"/>
      <c r="N23" s="138"/>
      <c r="O23" s="138"/>
      <c r="P23" s="138"/>
      <c r="Q23" s="217"/>
      <c r="R23" s="355"/>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row>
    <row r="24" spans="1:42" s="137" customFormat="1" ht="14.25" customHeight="1" x14ac:dyDescent="0.25">
      <c r="A24" s="217"/>
      <c r="B24" s="384" t="str">
        <f ca="1">"Die Prozentsätze müssen kraft Gesetzes jedes Jahr mit der sogenannten Aufwertungszahl ("&amp;'Verknüpfungen 1'!A6&amp;": "&amp;TEXT(VLOOKUP('Verknüpfungen 1'!A6,Wertedatenbank!A3:B21,Wertedatenbank!B22),"#,000")&amp;") multipliziert werden. Die Aufwertungszahl entspricht der prozentuellen Erhöhung ("&amp;TEXT(VLOOKUP('Verknüpfungen 1'!A6,Wertedatenbank!A3:B21,Wertedatenbank!B22),"#,000")&amp;" = + "&amp;TEXT((VLOOKUP('Verknüpfungen 1'!A6,Wertedatenbank!A3:B21,Wertedatenbank!B22)-1)*100,"#,00")&amp;" %) der  Beitragsgrundlage  und  damit  der  Beiträge.  Damit  erfolgt  ein  pauschaler  Inflationsausgleich,  da  die   Hektarsätze  im Einheitswert  nicht"</f>
        <v>Die Prozentsätze müssen kraft Gesetzes jedes Jahr mit der sogenannten Aufwertungszahl (2024: 1,035) multipliziert werden. Die Aufwertungszahl entspricht der prozentuellen Erhöhung (1,035 = + 3,50 %) der  Beitragsgrundlage  und  damit  der  Beiträge.  Damit  erfolgt  ein  pauschaler  Inflationsausgleich,  da  die   Hektarsätze  im Einheitswert  nicht</v>
      </c>
      <c r="C24" s="384"/>
      <c r="D24" s="384"/>
      <c r="E24" s="384"/>
      <c r="F24" s="384"/>
      <c r="G24" s="384"/>
      <c r="H24" s="384"/>
      <c r="I24" s="384"/>
      <c r="J24" s="384"/>
      <c r="K24" s="384"/>
      <c r="L24" s="384"/>
      <c r="M24" s="384"/>
      <c r="N24" s="384"/>
      <c r="O24" s="384"/>
      <c r="P24" s="384"/>
      <c r="Q24" s="217"/>
      <c r="R24" s="310"/>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row>
    <row r="25" spans="1:42" s="137" customFormat="1" ht="14.25" customHeight="1" x14ac:dyDescent="0.25">
      <c r="A25" s="217"/>
      <c r="B25" s="384"/>
      <c r="C25" s="384"/>
      <c r="D25" s="384"/>
      <c r="E25" s="384"/>
      <c r="F25" s="384"/>
      <c r="G25" s="384"/>
      <c r="H25" s="384"/>
      <c r="I25" s="384"/>
      <c r="J25" s="384"/>
      <c r="K25" s="384"/>
      <c r="L25" s="384"/>
      <c r="M25" s="384"/>
      <c r="N25" s="384"/>
      <c r="O25" s="384"/>
      <c r="P25" s="384"/>
      <c r="Q25" s="217"/>
      <c r="R25" s="301" t="s">
        <v>257</v>
      </c>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row>
    <row r="26" spans="1:42" s="137" customFormat="1" ht="14.25" customHeight="1" x14ac:dyDescent="0.25">
      <c r="A26" s="217"/>
      <c r="B26" s="384" t="s">
        <v>233</v>
      </c>
      <c r="C26" s="384"/>
      <c r="D26" s="384"/>
      <c r="E26" s="384"/>
      <c r="F26" s="384"/>
      <c r="G26" s="384"/>
      <c r="H26" s="384"/>
      <c r="I26" s="384"/>
      <c r="J26" s="384"/>
      <c r="K26" s="384"/>
      <c r="L26" s="384"/>
      <c r="M26" s="384"/>
      <c r="N26" s="384"/>
      <c r="O26" s="384"/>
      <c r="P26" s="384"/>
      <c r="Q26" s="217"/>
      <c r="R26" s="301"/>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row>
    <row r="27" spans="1:42" s="137" customFormat="1" ht="14.25" customHeight="1" x14ac:dyDescent="0.25">
      <c r="A27" s="217"/>
      <c r="B27" s="384"/>
      <c r="C27" s="384"/>
      <c r="D27" s="384"/>
      <c r="E27" s="384"/>
      <c r="F27" s="384"/>
      <c r="G27" s="384"/>
      <c r="H27" s="384"/>
      <c r="I27" s="384"/>
      <c r="J27" s="384"/>
      <c r="K27" s="384"/>
      <c r="L27" s="384"/>
      <c r="M27" s="384"/>
      <c r="N27" s="384"/>
      <c r="O27" s="384"/>
      <c r="P27" s="384"/>
      <c r="Q27" s="217"/>
      <c r="R27" s="352" t="s">
        <v>302</v>
      </c>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row>
    <row r="28" spans="1:42" s="137" customFormat="1" ht="7.5" customHeight="1" x14ac:dyDescent="0.25">
      <c r="A28" s="217"/>
      <c r="B28" s="384"/>
      <c r="C28" s="384"/>
      <c r="D28" s="384"/>
      <c r="E28" s="384"/>
      <c r="F28" s="384"/>
      <c r="G28" s="384"/>
      <c r="H28" s="384"/>
      <c r="I28" s="384"/>
      <c r="J28" s="384"/>
      <c r="K28" s="384"/>
      <c r="L28" s="384"/>
      <c r="M28" s="384"/>
      <c r="N28" s="384"/>
      <c r="O28" s="384"/>
      <c r="P28" s="384"/>
      <c r="Q28" s="217"/>
      <c r="R28" s="352"/>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row>
    <row r="29" spans="1:42" s="137" customFormat="1" ht="14.25" customHeight="1" x14ac:dyDescent="0.25">
      <c r="A29" s="217"/>
      <c r="B29" s="384" t="s">
        <v>303</v>
      </c>
      <c r="C29" s="384"/>
      <c r="D29" s="384"/>
      <c r="E29" s="384"/>
      <c r="F29" s="384"/>
      <c r="G29" s="384"/>
      <c r="H29" s="384"/>
      <c r="I29" s="384"/>
      <c r="J29" s="384"/>
      <c r="K29" s="384"/>
      <c r="L29" s="384"/>
      <c r="M29" s="384"/>
      <c r="N29" s="384"/>
      <c r="O29" s="384"/>
      <c r="P29" s="384"/>
      <c r="Q29" s="217"/>
      <c r="R29" s="301"/>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row>
    <row r="30" spans="1:42" ht="16.5" customHeight="1" x14ac:dyDescent="0.25">
      <c r="A30" s="218"/>
      <c r="B30" s="384"/>
      <c r="C30" s="384"/>
      <c r="D30" s="384"/>
      <c r="E30" s="384"/>
      <c r="F30" s="384"/>
      <c r="G30" s="384"/>
      <c r="H30" s="384"/>
      <c r="I30" s="384"/>
      <c r="J30" s="384"/>
      <c r="K30" s="384"/>
      <c r="L30" s="384"/>
      <c r="M30" s="384"/>
      <c r="N30" s="384"/>
      <c r="O30" s="384"/>
      <c r="P30" s="384"/>
      <c r="Q30" s="218"/>
      <c r="R30" s="347" t="s">
        <v>295</v>
      </c>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row>
    <row r="31" spans="1:42" ht="16.5" customHeight="1" x14ac:dyDescent="0.25">
      <c r="A31" s="218"/>
      <c r="B31" s="384"/>
      <c r="C31" s="384"/>
      <c r="D31" s="384"/>
      <c r="E31" s="384"/>
      <c r="F31" s="384"/>
      <c r="G31" s="384"/>
      <c r="H31" s="384"/>
      <c r="I31" s="384"/>
      <c r="J31" s="384"/>
      <c r="K31" s="384"/>
      <c r="L31" s="384"/>
      <c r="M31" s="384"/>
      <c r="N31" s="384"/>
      <c r="O31" s="384"/>
      <c r="P31" s="384"/>
      <c r="Q31" s="218"/>
      <c r="R31" s="34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row>
    <row r="32" spans="1:42" ht="16.5" customHeight="1" x14ac:dyDescent="0.25">
      <c r="A32" s="218"/>
      <c r="B32" s="384" t="s">
        <v>304</v>
      </c>
      <c r="C32" s="384"/>
      <c r="D32" s="384"/>
      <c r="E32" s="384"/>
      <c r="F32" s="384"/>
      <c r="G32" s="384"/>
      <c r="H32" s="384"/>
      <c r="I32" s="384"/>
      <c r="J32" s="384"/>
      <c r="K32" s="384"/>
      <c r="L32" s="384"/>
      <c r="M32" s="384"/>
      <c r="N32" s="384"/>
      <c r="O32" s="384"/>
      <c r="P32" s="384"/>
      <c r="Q32" s="218"/>
      <c r="R32" s="34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row>
    <row r="33" spans="1:42" ht="16.5" customHeight="1" x14ac:dyDescent="0.25">
      <c r="A33" s="218"/>
      <c r="B33" s="384"/>
      <c r="C33" s="384"/>
      <c r="D33" s="384"/>
      <c r="E33" s="384"/>
      <c r="F33" s="384"/>
      <c r="G33" s="384"/>
      <c r="H33" s="384"/>
      <c r="I33" s="384"/>
      <c r="J33" s="384"/>
      <c r="K33" s="384"/>
      <c r="L33" s="384"/>
      <c r="M33" s="384"/>
      <c r="N33" s="384"/>
      <c r="O33" s="384"/>
      <c r="P33" s="384"/>
      <c r="Q33" s="218"/>
      <c r="R33" s="301" t="s">
        <v>294</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row>
    <row r="34" spans="1:42" ht="15.75" customHeight="1" x14ac:dyDescent="0.25">
      <c r="A34" s="218"/>
      <c r="B34" s="384"/>
      <c r="C34" s="384"/>
      <c r="D34" s="384"/>
      <c r="E34" s="384"/>
      <c r="F34" s="384"/>
      <c r="G34" s="384"/>
      <c r="H34" s="384"/>
      <c r="I34" s="384"/>
      <c r="J34" s="384"/>
      <c r="K34" s="384"/>
      <c r="L34" s="384"/>
      <c r="M34" s="384"/>
      <c r="N34" s="384"/>
      <c r="O34" s="384"/>
      <c r="P34" s="384"/>
      <c r="Q34" s="218"/>
      <c r="R34" s="301"/>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row>
    <row r="35" spans="1:42" s="29" customFormat="1" ht="15.75" customHeight="1" x14ac:dyDescent="0.25">
      <c r="A35" s="223"/>
      <c r="B35" s="386" t="s">
        <v>305</v>
      </c>
      <c r="C35" s="386"/>
      <c r="D35" s="386"/>
      <c r="E35" s="386"/>
      <c r="F35" s="386"/>
      <c r="G35" s="386"/>
      <c r="H35" s="386"/>
      <c r="I35" s="386"/>
      <c r="J35" s="386"/>
      <c r="K35" s="386"/>
      <c r="L35" s="386"/>
      <c r="M35" s="386"/>
      <c r="N35" s="386"/>
      <c r="O35" s="386"/>
      <c r="P35" s="386"/>
      <c r="Q35" s="223"/>
      <c r="R35" s="301" t="s">
        <v>259</v>
      </c>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row>
    <row r="36" spans="1:42" s="29" customFormat="1" ht="15.75" customHeight="1" x14ac:dyDescent="0.25">
      <c r="A36" s="223"/>
      <c r="B36" s="386"/>
      <c r="C36" s="386"/>
      <c r="D36" s="386"/>
      <c r="E36" s="386"/>
      <c r="F36" s="386"/>
      <c r="G36" s="386"/>
      <c r="H36" s="386"/>
      <c r="I36" s="386"/>
      <c r="J36" s="386"/>
      <c r="K36" s="386"/>
      <c r="L36" s="386"/>
      <c r="M36" s="386"/>
      <c r="N36" s="386"/>
      <c r="O36" s="386"/>
      <c r="P36" s="386"/>
      <c r="Q36" s="223"/>
      <c r="R36" s="335"/>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row>
    <row r="37" spans="1:42" ht="45" customHeight="1" x14ac:dyDescent="0.25">
      <c r="A37" s="218"/>
      <c r="B37" s="218"/>
      <c r="C37" s="218"/>
      <c r="D37" s="218"/>
      <c r="E37" s="218"/>
      <c r="F37" s="218"/>
      <c r="G37" s="218"/>
      <c r="H37" s="218"/>
      <c r="I37" s="218"/>
      <c r="J37" s="218"/>
      <c r="K37" s="218"/>
      <c r="L37" s="218"/>
      <c r="M37" s="218"/>
      <c r="N37" s="218"/>
      <c r="O37" s="218"/>
      <c r="P37" s="220"/>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row>
    <row r="38" spans="1:42" ht="45" customHeight="1" x14ac:dyDescent="0.25">
      <c r="A38" s="218"/>
      <c r="B38" s="218"/>
      <c r="C38" s="218"/>
      <c r="D38" s="218"/>
      <c r="E38" s="218"/>
      <c r="F38" s="218"/>
      <c r="G38" s="218"/>
      <c r="H38" s="218"/>
      <c r="I38" s="218"/>
      <c r="J38" s="218"/>
      <c r="K38" s="218"/>
      <c r="L38" s="218"/>
      <c r="M38" s="218"/>
      <c r="N38" s="218"/>
      <c r="O38" s="218"/>
      <c r="P38" s="220"/>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row>
    <row r="39" spans="1:42" ht="45" customHeight="1" x14ac:dyDescent="0.25">
      <c r="A39" s="218"/>
      <c r="B39" s="218"/>
      <c r="C39" s="218"/>
      <c r="D39" s="218"/>
      <c r="E39" s="218"/>
      <c r="F39" s="218"/>
      <c r="G39" s="218"/>
      <c r="H39" s="218"/>
      <c r="I39" s="218"/>
      <c r="J39" s="218"/>
      <c r="K39" s="218"/>
      <c r="L39" s="218"/>
      <c r="M39" s="218"/>
      <c r="N39" s="218"/>
      <c r="O39" s="218"/>
      <c r="P39" s="220"/>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row>
    <row r="40" spans="1:42" ht="45" customHeight="1" x14ac:dyDescent="0.25">
      <c r="A40" s="218"/>
      <c r="B40" s="218"/>
      <c r="C40" s="218"/>
      <c r="D40" s="218"/>
      <c r="E40" s="218"/>
      <c r="F40" s="218"/>
      <c r="G40" s="218"/>
      <c r="H40" s="218"/>
      <c r="I40" s="218"/>
      <c r="J40" s="218"/>
      <c r="K40" s="218"/>
      <c r="L40" s="218"/>
      <c r="M40" s="218"/>
      <c r="N40" s="218"/>
      <c r="O40" s="218"/>
      <c r="P40" s="220"/>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row>
    <row r="41" spans="1:42" ht="45" customHeight="1" x14ac:dyDescent="0.25">
      <c r="A41" s="218"/>
      <c r="B41" s="218"/>
      <c r="C41" s="218"/>
      <c r="D41" s="218"/>
      <c r="E41" s="218"/>
      <c r="F41" s="218"/>
      <c r="G41" s="218"/>
      <c r="H41" s="218"/>
      <c r="I41" s="218"/>
      <c r="J41" s="218"/>
      <c r="K41" s="218"/>
      <c r="L41" s="218"/>
      <c r="M41" s="218"/>
      <c r="N41" s="218"/>
      <c r="O41" s="218"/>
      <c r="P41" s="220"/>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row>
    <row r="42" spans="1:42" ht="45" customHeight="1" x14ac:dyDescent="0.25">
      <c r="A42" s="218"/>
      <c r="B42" s="218"/>
      <c r="C42" s="218"/>
      <c r="D42" s="218"/>
      <c r="E42" s="218"/>
      <c r="F42" s="218"/>
      <c r="G42" s="218"/>
      <c r="H42" s="218"/>
      <c r="I42" s="218"/>
      <c r="J42" s="218"/>
      <c r="K42" s="218"/>
      <c r="L42" s="218"/>
      <c r="M42" s="218"/>
      <c r="N42" s="218"/>
      <c r="O42" s="218"/>
      <c r="P42" s="220"/>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row>
    <row r="43" spans="1:42" ht="45" customHeight="1" x14ac:dyDescent="0.25">
      <c r="A43" s="218"/>
      <c r="B43" s="218"/>
      <c r="C43" s="218"/>
      <c r="D43" s="218"/>
      <c r="E43" s="218"/>
      <c r="F43" s="218"/>
      <c r="G43" s="218"/>
      <c r="H43" s="218"/>
      <c r="I43" s="218"/>
      <c r="J43" s="218"/>
      <c r="K43" s="218"/>
      <c r="L43" s="218"/>
      <c r="M43" s="218"/>
      <c r="N43" s="218"/>
      <c r="O43" s="218"/>
      <c r="P43" s="220"/>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row>
    <row r="44" spans="1:42" ht="45" customHeight="1" x14ac:dyDescent="0.25">
      <c r="A44" s="218"/>
      <c r="B44" s="218"/>
      <c r="C44" s="218"/>
      <c r="D44" s="218"/>
      <c r="E44" s="218"/>
      <c r="F44" s="218"/>
      <c r="G44" s="218"/>
      <c r="H44" s="218"/>
      <c r="I44" s="218"/>
      <c r="J44" s="218"/>
      <c r="K44" s="218"/>
      <c r="L44" s="218"/>
      <c r="M44" s="218"/>
      <c r="N44" s="218"/>
      <c r="O44" s="218"/>
      <c r="P44" s="220"/>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row>
    <row r="45" spans="1:42" ht="45" customHeight="1" x14ac:dyDescent="0.25">
      <c r="A45" s="218"/>
      <c r="B45" s="218"/>
      <c r="C45" s="218"/>
      <c r="D45" s="218"/>
      <c r="E45" s="218"/>
      <c r="F45" s="218"/>
      <c r="G45" s="218"/>
      <c r="H45" s="218"/>
      <c r="I45" s="218"/>
      <c r="J45" s="218"/>
      <c r="K45" s="218"/>
      <c r="L45" s="218"/>
      <c r="M45" s="218"/>
      <c r="N45" s="218"/>
      <c r="O45" s="218"/>
      <c r="P45" s="220"/>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row>
    <row r="46" spans="1:42" ht="45" customHeight="1" x14ac:dyDescent="0.25">
      <c r="A46" s="218"/>
      <c r="B46" s="218"/>
      <c r="C46" s="218"/>
      <c r="D46" s="218"/>
      <c r="E46" s="218"/>
      <c r="F46" s="218"/>
      <c r="G46" s="218"/>
      <c r="H46" s="218"/>
      <c r="I46" s="218"/>
      <c r="J46" s="218"/>
      <c r="K46" s="218"/>
      <c r="L46" s="218"/>
      <c r="M46" s="218"/>
      <c r="N46" s="218"/>
      <c r="O46" s="218"/>
      <c r="P46" s="220"/>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row>
    <row r="47" spans="1:42" ht="45" customHeight="1" x14ac:dyDescent="0.25">
      <c r="A47" s="218"/>
      <c r="B47" s="218"/>
      <c r="C47" s="218"/>
      <c r="D47" s="218"/>
      <c r="E47" s="218"/>
      <c r="F47" s="218"/>
      <c r="G47" s="218"/>
      <c r="H47" s="218"/>
      <c r="I47" s="218"/>
      <c r="J47" s="218"/>
      <c r="K47" s="218"/>
      <c r="L47" s="218"/>
      <c r="M47" s="218"/>
      <c r="N47" s="218"/>
      <c r="O47" s="218"/>
      <c r="P47" s="220"/>
      <c r="Q47" s="218"/>
      <c r="R47" s="218"/>
      <c r="S47" s="218"/>
      <c r="T47" s="218"/>
      <c r="U47" s="218"/>
      <c r="V47" s="218"/>
      <c r="W47" s="218"/>
      <c r="X47" s="218"/>
      <c r="Y47" s="218"/>
      <c r="Z47" s="218"/>
      <c r="AA47" s="218"/>
      <c r="AB47" s="218"/>
      <c r="AC47" s="218"/>
      <c r="AD47" s="218"/>
      <c r="AE47" s="218"/>
      <c r="AF47" s="218"/>
      <c r="AG47" s="218"/>
      <c r="AH47" s="218"/>
      <c r="AI47" s="218"/>
      <c r="AJ47" s="218"/>
      <c r="AK47" s="218"/>
    </row>
    <row r="48" spans="1:42" ht="45" customHeight="1" x14ac:dyDescent="0.25">
      <c r="A48" s="218"/>
      <c r="B48" s="218"/>
      <c r="C48" s="218"/>
      <c r="D48" s="218"/>
      <c r="E48" s="218"/>
      <c r="F48" s="218"/>
      <c r="G48" s="218"/>
      <c r="H48" s="218"/>
      <c r="I48" s="218"/>
      <c r="J48" s="218"/>
      <c r="K48" s="218"/>
      <c r="L48" s="218"/>
      <c r="M48" s="218"/>
      <c r="N48" s="218"/>
      <c r="O48" s="218"/>
      <c r="P48" s="220"/>
      <c r="Q48" s="218"/>
      <c r="R48" s="218"/>
      <c r="S48" s="218"/>
      <c r="T48" s="218"/>
      <c r="U48" s="218"/>
      <c r="V48" s="218"/>
      <c r="W48" s="218"/>
      <c r="X48" s="218"/>
      <c r="Y48" s="218"/>
      <c r="Z48" s="218"/>
      <c r="AA48" s="218"/>
      <c r="AB48" s="218"/>
      <c r="AC48" s="218"/>
      <c r="AD48" s="218"/>
      <c r="AE48" s="218"/>
      <c r="AF48" s="218"/>
      <c r="AG48" s="218"/>
      <c r="AH48" s="218"/>
      <c r="AI48" s="218"/>
      <c r="AJ48" s="218"/>
      <c r="AK48" s="218"/>
    </row>
    <row r="49" spans="1:37" ht="45" customHeight="1" x14ac:dyDescent="0.25">
      <c r="A49" s="218"/>
      <c r="B49" s="218"/>
      <c r="C49" s="218"/>
      <c r="D49" s="218"/>
      <c r="E49" s="218"/>
      <c r="F49" s="218"/>
      <c r="G49" s="218"/>
      <c r="H49" s="218"/>
      <c r="I49" s="218"/>
      <c r="J49" s="218"/>
      <c r="K49" s="218"/>
      <c r="L49" s="218"/>
      <c r="M49" s="218"/>
      <c r="N49" s="218"/>
      <c r="O49" s="218"/>
      <c r="P49" s="220"/>
      <c r="Q49" s="218"/>
      <c r="R49" s="218"/>
      <c r="S49" s="218"/>
      <c r="T49" s="218"/>
      <c r="U49" s="218"/>
      <c r="V49" s="218"/>
      <c r="W49" s="218"/>
      <c r="X49" s="218"/>
      <c r="Y49" s="218"/>
      <c r="Z49" s="218"/>
      <c r="AA49" s="218"/>
      <c r="AB49" s="218"/>
      <c r="AC49" s="218"/>
      <c r="AD49" s="218"/>
      <c r="AE49" s="218"/>
      <c r="AF49" s="218"/>
      <c r="AG49" s="218"/>
      <c r="AH49" s="218"/>
      <c r="AI49" s="218"/>
      <c r="AJ49" s="218"/>
      <c r="AK49" s="218"/>
    </row>
    <row r="50" spans="1:37" ht="45" customHeight="1" x14ac:dyDescent="0.25">
      <c r="A50" s="218"/>
      <c r="B50" s="218"/>
      <c r="C50" s="218"/>
      <c r="D50" s="218"/>
      <c r="E50" s="218"/>
      <c r="F50" s="218"/>
      <c r="G50" s="218"/>
      <c r="H50" s="218"/>
      <c r="I50" s="218"/>
      <c r="J50" s="218"/>
      <c r="K50" s="218"/>
      <c r="L50" s="218"/>
      <c r="M50" s="218"/>
      <c r="N50" s="218"/>
      <c r="O50" s="218"/>
      <c r="P50" s="220"/>
      <c r="Q50" s="218"/>
      <c r="R50" s="218"/>
      <c r="S50" s="218"/>
      <c r="T50" s="218"/>
      <c r="U50" s="218"/>
      <c r="V50" s="218"/>
      <c r="W50" s="218"/>
      <c r="X50" s="218"/>
      <c r="Y50" s="218"/>
      <c r="Z50" s="218"/>
      <c r="AA50" s="218"/>
      <c r="AB50" s="218"/>
      <c r="AC50" s="218"/>
      <c r="AD50" s="218"/>
      <c r="AE50" s="218"/>
      <c r="AF50" s="218"/>
      <c r="AG50" s="218"/>
      <c r="AH50" s="218"/>
      <c r="AI50" s="218"/>
      <c r="AJ50" s="218"/>
      <c r="AK50" s="218"/>
    </row>
    <row r="51" spans="1:37" ht="45" customHeight="1" x14ac:dyDescent="0.25">
      <c r="A51" s="218"/>
      <c r="B51" s="218"/>
      <c r="C51" s="218"/>
      <c r="D51" s="218"/>
      <c r="E51" s="218"/>
      <c r="F51" s="218"/>
      <c r="G51" s="218"/>
      <c r="H51" s="218"/>
      <c r="I51" s="218"/>
      <c r="J51" s="218"/>
      <c r="K51" s="218"/>
      <c r="L51" s="218"/>
      <c r="M51" s="218"/>
      <c r="N51" s="218"/>
      <c r="O51" s="218"/>
      <c r="P51" s="220"/>
      <c r="Q51" s="218"/>
      <c r="R51" s="218"/>
      <c r="S51" s="218"/>
      <c r="T51" s="218"/>
      <c r="U51" s="218"/>
      <c r="V51" s="218"/>
      <c r="W51" s="218"/>
      <c r="X51" s="218"/>
      <c r="Y51" s="218"/>
      <c r="Z51" s="218"/>
      <c r="AA51" s="218"/>
      <c r="AB51" s="218"/>
      <c r="AC51" s="218"/>
      <c r="AD51" s="218"/>
      <c r="AE51" s="218"/>
      <c r="AF51" s="218"/>
      <c r="AG51" s="218"/>
      <c r="AH51" s="218"/>
      <c r="AI51" s="218"/>
      <c r="AJ51" s="218"/>
      <c r="AK51" s="218"/>
    </row>
    <row r="52" spans="1:37" ht="45" customHeight="1" x14ac:dyDescent="0.25">
      <c r="A52" s="218"/>
      <c r="B52" s="218"/>
      <c r="C52" s="218"/>
      <c r="D52" s="218"/>
      <c r="E52" s="218"/>
      <c r="F52" s="218"/>
      <c r="G52" s="218"/>
      <c r="H52" s="218"/>
      <c r="I52" s="218"/>
      <c r="J52" s="218"/>
      <c r="K52" s="218"/>
      <c r="L52" s="218"/>
      <c r="M52" s="218"/>
      <c r="N52" s="218"/>
      <c r="O52" s="218"/>
      <c r="P52" s="220"/>
      <c r="Q52" s="218"/>
      <c r="R52" s="218"/>
      <c r="S52" s="218"/>
      <c r="T52" s="218"/>
      <c r="U52" s="218"/>
      <c r="V52" s="218"/>
      <c r="W52" s="218"/>
      <c r="X52" s="218"/>
      <c r="Y52" s="218"/>
      <c r="Z52" s="218"/>
      <c r="AA52" s="218"/>
      <c r="AB52" s="218"/>
      <c r="AC52" s="218"/>
      <c r="AD52" s="218"/>
      <c r="AE52" s="218"/>
      <c r="AF52" s="218"/>
      <c r="AG52" s="218"/>
      <c r="AH52" s="218"/>
      <c r="AI52" s="218"/>
      <c r="AJ52" s="218"/>
      <c r="AK52" s="218"/>
    </row>
    <row r="53" spans="1:37" ht="45" customHeight="1" x14ac:dyDescent="0.25">
      <c r="A53" s="218"/>
      <c r="B53" s="218"/>
      <c r="C53" s="218"/>
      <c r="D53" s="218"/>
      <c r="E53" s="218"/>
      <c r="F53" s="218"/>
      <c r="G53" s="218"/>
      <c r="H53" s="218"/>
      <c r="I53" s="218"/>
      <c r="J53" s="218"/>
      <c r="K53" s="218"/>
      <c r="L53" s="218"/>
      <c r="M53" s="218"/>
      <c r="N53" s="218"/>
      <c r="O53" s="218"/>
      <c r="P53" s="220"/>
      <c r="Q53" s="218"/>
      <c r="R53" s="218"/>
      <c r="S53" s="218"/>
      <c r="T53" s="218"/>
      <c r="U53" s="218"/>
      <c r="V53" s="218"/>
      <c r="W53" s="218"/>
      <c r="X53" s="218"/>
      <c r="Y53" s="218"/>
      <c r="Z53" s="218"/>
      <c r="AA53" s="218"/>
      <c r="AB53" s="218"/>
      <c r="AC53" s="218"/>
      <c r="AD53" s="218"/>
      <c r="AE53" s="218"/>
      <c r="AF53" s="218"/>
      <c r="AG53" s="218"/>
      <c r="AH53" s="218"/>
      <c r="AI53" s="218"/>
      <c r="AJ53" s="218"/>
      <c r="AK53" s="218"/>
    </row>
    <row r="54" spans="1:37" ht="45" customHeight="1" x14ac:dyDescent="0.25">
      <c r="A54" s="218"/>
      <c r="B54" s="218"/>
      <c r="C54" s="218"/>
      <c r="D54" s="218"/>
      <c r="E54" s="218"/>
      <c r="F54" s="218"/>
      <c r="G54" s="218"/>
      <c r="H54" s="218"/>
      <c r="I54" s="218"/>
      <c r="J54" s="218"/>
      <c r="K54" s="218"/>
      <c r="L54" s="218"/>
      <c r="M54" s="218"/>
      <c r="N54" s="218"/>
      <c r="O54" s="218"/>
      <c r="P54" s="220"/>
      <c r="Q54" s="218"/>
      <c r="R54" s="218"/>
      <c r="S54" s="218"/>
      <c r="T54" s="218"/>
      <c r="U54" s="218"/>
      <c r="V54" s="218"/>
      <c r="W54" s="218"/>
      <c r="X54" s="218"/>
      <c r="Y54" s="218"/>
      <c r="Z54" s="218"/>
      <c r="AA54" s="218"/>
      <c r="AB54" s="218"/>
      <c r="AC54" s="218"/>
      <c r="AD54" s="218"/>
      <c r="AE54" s="218"/>
      <c r="AF54" s="218"/>
      <c r="AG54" s="218"/>
      <c r="AH54" s="218"/>
      <c r="AI54" s="218"/>
      <c r="AJ54" s="218"/>
      <c r="AK54" s="218"/>
    </row>
    <row r="55" spans="1:37" ht="45" customHeight="1" x14ac:dyDescent="0.25">
      <c r="A55" s="218"/>
      <c r="B55" s="218"/>
      <c r="C55" s="218"/>
      <c r="D55" s="218"/>
      <c r="E55" s="218"/>
      <c r="F55" s="218"/>
      <c r="G55" s="218"/>
      <c r="H55" s="218"/>
      <c r="I55" s="218"/>
      <c r="J55" s="218"/>
      <c r="K55" s="218"/>
      <c r="L55" s="218"/>
      <c r="M55" s="218"/>
      <c r="N55" s="218"/>
      <c r="O55" s="218"/>
      <c r="P55" s="220"/>
      <c r="Q55" s="218"/>
      <c r="R55" s="218"/>
      <c r="S55" s="218"/>
      <c r="T55" s="218"/>
      <c r="U55" s="218"/>
      <c r="V55" s="218"/>
      <c r="W55" s="218"/>
      <c r="X55" s="218"/>
      <c r="Y55" s="218"/>
      <c r="Z55" s="218"/>
      <c r="AA55" s="218"/>
      <c r="AB55" s="218"/>
      <c r="AC55" s="218"/>
      <c r="AD55" s="218"/>
      <c r="AE55" s="218"/>
      <c r="AF55" s="218"/>
      <c r="AG55" s="218"/>
      <c r="AH55" s="218"/>
      <c r="AI55" s="218"/>
      <c r="AJ55" s="218"/>
      <c r="AK55" s="218"/>
    </row>
    <row r="56" spans="1:37" ht="45" customHeight="1" x14ac:dyDescent="0.25">
      <c r="A56" s="218"/>
      <c r="B56" s="218"/>
      <c r="C56" s="218"/>
      <c r="D56" s="218"/>
      <c r="E56" s="218"/>
      <c r="F56" s="218"/>
      <c r="G56" s="218"/>
      <c r="H56" s="218"/>
      <c r="I56" s="218"/>
      <c r="J56" s="218"/>
      <c r="K56" s="218"/>
      <c r="L56" s="218"/>
      <c r="M56" s="218"/>
      <c r="N56" s="218"/>
      <c r="O56" s="218"/>
      <c r="P56" s="220"/>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45" customHeight="1" x14ac:dyDescent="0.25">
      <c r="A57" s="218"/>
      <c r="B57" s="218"/>
      <c r="C57" s="218"/>
      <c r="D57" s="218"/>
      <c r="E57" s="218"/>
      <c r="F57" s="218"/>
      <c r="G57" s="218"/>
      <c r="H57" s="218"/>
      <c r="I57" s="218"/>
      <c r="J57" s="218"/>
      <c r="K57" s="218"/>
      <c r="L57" s="218"/>
      <c r="M57" s="218"/>
      <c r="N57" s="218"/>
      <c r="O57" s="218"/>
      <c r="P57" s="220"/>
      <c r="Q57" s="218"/>
      <c r="R57" s="218"/>
    </row>
    <row r="58" spans="1:37" ht="45" customHeight="1" x14ac:dyDescent="0.25"/>
    <row r="59" spans="1:37" ht="45" customHeight="1" x14ac:dyDescent="0.25"/>
    <row r="60" spans="1:37" ht="45" customHeight="1" x14ac:dyDescent="0.25"/>
    <row r="61" spans="1:37" ht="45" customHeight="1" x14ac:dyDescent="0.25"/>
    <row r="62" spans="1:37" ht="45" customHeight="1" x14ac:dyDescent="0.25"/>
    <row r="63" spans="1:37" ht="45" customHeight="1" x14ac:dyDescent="0.25"/>
    <row r="64" spans="1:37" ht="45" customHeight="1" x14ac:dyDescent="0.25"/>
    <row r="65" ht="45" customHeight="1" x14ac:dyDescent="0.25"/>
    <row r="66" ht="45" customHeight="1" x14ac:dyDescent="0.25"/>
    <row r="67" ht="45" customHeight="1" x14ac:dyDescent="0.25"/>
    <row r="68" ht="45" customHeight="1" x14ac:dyDescent="0.25"/>
    <row r="69" ht="45" customHeight="1" x14ac:dyDescent="0.25"/>
    <row r="70" ht="45" customHeight="1" x14ac:dyDescent="0.25"/>
    <row r="71" ht="45" customHeight="1" x14ac:dyDescent="0.25"/>
    <row r="72" ht="45" customHeight="1" x14ac:dyDescent="0.25"/>
    <row r="73" ht="45" customHeight="1" x14ac:dyDescent="0.25"/>
    <row r="74" ht="45" customHeight="1" x14ac:dyDescent="0.25"/>
    <row r="75" ht="45" customHeight="1" x14ac:dyDescent="0.25"/>
    <row r="76" ht="45" customHeight="1" x14ac:dyDescent="0.25"/>
    <row r="77" ht="45" customHeight="1" x14ac:dyDescent="0.25"/>
    <row r="78" ht="45" customHeight="1" x14ac:dyDescent="0.25"/>
    <row r="79" ht="45" customHeight="1" x14ac:dyDescent="0.25"/>
    <row r="80" ht="45" customHeight="1" x14ac:dyDescent="0.25"/>
    <row r="81" ht="45" customHeight="1" x14ac:dyDescent="0.25"/>
    <row r="82" ht="45" customHeight="1" x14ac:dyDescent="0.25"/>
    <row r="83" ht="45" customHeight="1" x14ac:dyDescent="0.25"/>
    <row r="84" ht="45" customHeight="1" x14ac:dyDescent="0.25"/>
    <row r="85" ht="45" customHeight="1" x14ac:dyDescent="0.25"/>
  </sheetData>
  <mergeCells count="59">
    <mergeCell ref="B8:P10"/>
    <mergeCell ref="R11:R12"/>
    <mergeCell ref="R16:R17"/>
    <mergeCell ref="L6:P6"/>
    <mergeCell ref="B7:P7"/>
    <mergeCell ref="B6:K6"/>
    <mergeCell ref="N15:O15"/>
    <mergeCell ref="N16:O16"/>
    <mergeCell ref="C13:D13"/>
    <mergeCell ref="B12:D12"/>
    <mergeCell ref="K17:L17"/>
    <mergeCell ref="K13:L13"/>
    <mergeCell ref="K14:L14"/>
    <mergeCell ref="N17:O17"/>
    <mergeCell ref="E17:G17"/>
    <mergeCell ref="B29:P31"/>
    <mergeCell ref="B32:P34"/>
    <mergeCell ref="B35:P36"/>
    <mergeCell ref="R30:R32"/>
    <mergeCell ref="R7:R8"/>
    <mergeCell ref="R22:R23"/>
    <mergeCell ref="R27:R28"/>
    <mergeCell ref="K11:L11"/>
    <mergeCell ref="N13:O13"/>
    <mergeCell ref="N14:O14"/>
    <mergeCell ref="C15:D15"/>
    <mergeCell ref="K21:M21"/>
    <mergeCell ref="B24:P25"/>
    <mergeCell ref="N20:O20"/>
    <mergeCell ref="K15:L15"/>
    <mergeCell ref="K16:L16"/>
    <mergeCell ref="N19:O19"/>
    <mergeCell ref="C20:D20"/>
    <mergeCell ref="B28:P28"/>
    <mergeCell ref="E21:G21"/>
    <mergeCell ref="E22:G22"/>
    <mergeCell ref="K22:P22"/>
    <mergeCell ref="B26:P27"/>
    <mergeCell ref="N18:O18"/>
    <mergeCell ref="K19:L19"/>
    <mergeCell ref="K18:L18"/>
    <mergeCell ref="C14:D14"/>
    <mergeCell ref="B2:P2"/>
    <mergeCell ref="B3:P3"/>
    <mergeCell ref="M11:O11"/>
    <mergeCell ref="C16:D16"/>
    <mergeCell ref="C17:D17"/>
    <mergeCell ref="C18:D18"/>
    <mergeCell ref="C19:D19"/>
    <mergeCell ref="E12:G13"/>
    <mergeCell ref="E14:G14"/>
    <mergeCell ref="H5:P5"/>
    <mergeCell ref="E15:G15"/>
    <mergeCell ref="E16:G16"/>
    <mergeCell ref="E18:G18"/>
    <mergeCell ref="E19:G19"/>
    <mergeCell ref="C21:D21"/>
    <mergeCell ref="C22:D22"/>
    <mergeCell ref="E20:G20"/>
  </mergeCells>
  <phoneticPr fontId="6" type="noConversion"/>
  <conditionalFormatting sqref="R11">
    <cfRule type="expression" dxfId="11" priority="1" stopIfTrue="1">
      <formula>IF($AY$1=1,TRUE,FALSE)</formula>
    </cfRule>
  </conditionalFormatting>
  <hyperlinks>
    <hyperlink ref="R7:R8" location="'Internetfenster 1'!A1" display="Ausgangsbetrieb à"/>
    <hyperlink ref="R11" location="Pacht!A1" display="Zu-/Verpachtung bzw. Zu-/Verkauf"/>
    <hyperlink ref="R16" location="'Info &amp; Navigation'!A1" display="Einstiegsbildschirm"/>
    <hyperlink ref="R25:R26" location="'Beiträge NT'!A1" display="Beiträge aus Nebentätigkeiten à"/>
    <hyperlink ref="R27:R28" location="Betriebsbeitrag!A1" display="Betriebsbeitrag à"/>
    <hyperlink ref="R35" location="'Höchst-BTG'!A1" display="Höchst-Beitragsgrundlagen"/>
    <hyperlink ref="R33" location="'Höchst-BTG'!A1" display="Höchst-Beitragsgrundlagen"/>
    <hyperlink ref="R30:R31" location="Pacht!A1" display="Zu-/Verpachtung bzw. Zu-/Verkauf"/>
    <hyperlink ref="R30:R32" location="EHW!E5" display="EHW!E5"/>
    <hyperlink ref="R18" location="'BTG und Beitragssatz'!A1" display="Beitragsgrundlage &amp; Beitragssatz"/>
    <hyperlink ref="R20:R21" location="EHW!A1" display="Heranzuziehender Einheitswert à"/>
    <hyperlink ref="R22" location="Angehörige!I5" display="Angehörige!I5"/>
    <hyperlink ref="R9" location="'Internetfenster 2'!F6" display="Vergleichsbetrieb à"/>
  </hyperlinks>
  <printOptions horizontalCentered="1"/>
  <pageMargins left="0.59055118110236227" right="0.59055118110236227" top="0.59055118110236227" bottom="0.59055118110236227" header="0.51181102362204722" footer="0.51181102362204722"/>
  <pageSetup paperSize="9" scale="81" orientation="landscape" r:id="rId1"/>
  <headerFooter alignWithMargins="0">
    <oddFooter>&amp;L&amp;8SVB-Beitragsberechnungsprogramm&amp;C&amp;8Bitte beachten: Die ermittelten Ergebnisse dienen lediglich der Information und sind unverbindlich!&amp;R&amp;8&amp;D</oddFooter>
  </headerFooter>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AL89"/>
  <sheetViews>
    <sheetView showGridLines="0" zoomScaleNormal="100" workbookViewId="0">
      <selection activeCell="M24" sqref="M24:M26"/>
    </sheetView>
  </sheetViews>
  <sheetFormatPr baseColWidth="10" defaultColWidth="11" defaultRowHeight="13.8" x14ac:dyDescent="0.25"/>
  <cols>
    <col min="1" max="1" width="11" style="134"/>
    <col min="2" max="2" width="2.59765625" style="134" customWidth="1"/>
    <col min="3" max="3" width="24.3984375" style="134" customWidth="1"/>
    <col min="4" max="4" width="0.8984375" style="134" customWidth="1"/>
    <col min="5" max="5" width="14.59765625" style="134" customWidth="1"/>
    <col min="6" max="7" width="19.59765625" style="134" customWidth="1"/>
    <col min="8" max="9" width="14.8984375" style="134" customWidth="1"/>
    <col min="10" max="10" width="17.8984375" style="134" customWidth="1"/>
    <col min="11" max="11" width="11.8984375" style="135" customWidth="1"/>
    <col min="12" max="12" width="4.09765625" style="134" customWidth="1"/>
    <col min="13" max="13" width="30.59765625" style="134" customWidth="1"/>
    <col min="14" max="14" width="11" style="134"/>
    <col min="15" max="17" width="13.69921875" style="134" customWidth="1"/>
    <col min="18" max="16384" width="11" style="134"/>
  </cols>
  <sheetData>
    <row r="1" spans="1:38" ht="9" customHeight="1" x14ac:dyDescent="0.25">
      <c r="A1" s="213"/>
      <c r="B1" s="213"/>
      <c r="C1" s="213"/>
      <c r="D1" s="213"/>
      <c r="E1" s="213"/>
      <c r="F1" s="213"/>
      <c r="G1" s="213"/>
      <c r="H1" s="213"/>
      <c r="I1" s="213"/>
      <c r="J1" s="213"/>
      <c r="K1" s="214"/>
      <c r="L1" s="213"/>
      <c r="M1" s="213"/>
      <c r="N1" s="213"/>
      <c r="O1" s="213"/>
      <c r="P1" s="213"/>
      <c r="Q1" s="213"/>
      <c r="R1" s="218"/>
      <c r="S1" s="218"/>
      <c r="T1" s="218"/>
      <c r="U1" s="218"/>
      <c r="V1" s="218"/>
      <c r="W1" s="218"/>
      <c r="X1" s="218"/>
      <c r="Y1" s="218"/>
      <c r="Z1" s="218"/>
      <c r="AA1" s="218"/>
      <c r="AB1" s="218"/>
      <c r="AC1" s="218"/>
      <c r="AD1" s="218"/>
      <c r="AE1" s="218"/>
      <c r="AF1" s="218"/>
      <c r="AG1" s="218"/>
      <c r="AH1" s="218"/>
      <c r="AI1" s="218"/>
      <c r="AJ1" s="218"/>
      <c r="AK1" s="218"/>
      <c r="AL1" s="218"/>
    </row>
    <row r="2" spans="1:38" s="136" customFormat="1" ht="21" x14ac:dyDescent="0.25">
      <c r="A2" s="215"/>
      <c r="B2" s="359" t="s">
        <v>231</v>
      </c>
      <c r="C2" s="359"/>
      <c r="D2" s="359"/>
      <c r="E2" s="359"/>
      <c r="F2" s="359"/>
      <c r="G2" s="359"/>
      <c r="H2" s="359"/>
      <c r="I2" s="359"/>
      <c r="J2" s="359"/>
      <c r="K2" s="359"/>
      <c r="L2" s="215"/>
      <c r="M2" s="215"/>
      <c r="N2" s="215"/>
      <c r="O2" s="215"/>
      <c r="P2" s="215"/>
      <c r="Q2" s="215"/>
      <c r="R2" s="216"/>
      <c r="S2" s="216"/>
      <c r="T2" s="216"/>
      <c r="U2" s="216"/>
      <c r="V2" s="216"/>
      <c r="W2" s="216"/>
      <c r="X2" s="216"/>
      <c r="Y2" s="216"/>
      <c r="Z2" s="216"/>
      <c r="AA2" s="216"/>
      <c r="AB2" s="216"/>
      <c r="AC2" s="216"/>
      <c r="AD2" s="216"/>
      <c r="AE2" s="216"/>
      <c r="AF2" s="216"/>
      <c r="AG2" s="216"/>
      <c r="AH2" s="216"/>
      <c r="AI2" s="216"/>
      <c r="AJ2" s="216"/>
      <c r="AK2" s="216"/>
      <c r="AL2" s="216"/>
    </row>
    <row r="3" spans="1:38" s="136" customFormat="1" ht="21" x14ac:dyDescent="0.25">
      <c r="A3" s="215"/>
      <c r="B3" s="359" t="s">
        <v>131</v>
      </c>
      <c r="C3" s="359"/>
      <c r="D3" s="359"/>
      <c r="E3" s="359"/>
      <c r="F3" s="359"/>
      <c r="G3" s="359"/>
      <c r="H3" s="359"/>
      <c r="I3" s="359"/>
      <c r="J3" s="359"/>
      <c r="K3" s="359"/>
      <c r="L3" s="215"/>
      <c r="M3" s="215"/>
      <c r="N3" s="215"/>
      <c r="O3" s="215"/>
      <c r="P3" s="215"/>
      <c r="Q3" s="215"/>
      <c r="R3" s="216"/>
      <c r="S3" s="216"/>
      <c r="T3" s="216"/>
      <c r="U3" s="216"/>
      <c r="V3" s="216"/>
      <c r="W3" s="216"/>
      <c r="X3" s="216"/>
      <c r="Y3" s="216"/>
      <c r="Z3" s="216"/>
      <c r="AA3" s="216"/>
      <c r="AB3" s="216"/>
      <c r="AC3" s="216"/>
      <c r="AD3" s="216"/>
      <c r="AE3" s="216"/>
      <c r="AF3" s="216"/>
      <c r="AG3" s="216"/>
      <c r="AH3" s="216"/>
      <c r="AI3" s="216"/>
      <c r="AJ3" s="216"/>
      <c r="AK3" s="216"/>
      <c r="AL3" s="216"/>
    </row>
    <row r="4" spans="1:38" s="136" customFormat="1" ht="6" customHeight="1" x14ac:dyDescent="0.25">
      <c r="A4" s="216"/>
      <c r="B4" s="216"/>
      <c r="C4" s="216"/>
      <c r="D4" s="216"/>
      <c r="E4" s="216"/>
      <c r="F4" s="216"/>
      <c r="G4" s="216"/>
      <c r="H4" s="216"/>
      <c r="I4" s="216"/>
      <c r="J4" s="216"/>
      <c r="K4" s="216"/>
      <c r="L4" s="216"/>
      <c r="M4" s="216"/>
      <c r="N4" s="215"/>
      <c r="O4" s="215"/>
      <c r="P4" s="216"/>
      <c r="Q4" s="216"/>
      <c r="R4" s="216"/>
      <c r="S4" s="216"/>
      <c r="T4" s="216"/>
      <c r="U4" s="216"/>
      <c r="V4" s="216"/>
      <c r="W4" s="216"/>
      <c r="X4" s="216"/>
      <c r="Y4" s="216"/>
      <c r="Z4" s="216"/>
      <c r="AA4" s="216"/>
      <c r="AB4" s="216"/>
      <c r="AC4" s="216"/>
      <c r="AD4" s="216"/>
      <c r="AE4" s="216"/>
      <c r="AF4" s="216"/>
      <c r="AG4" s="216"/>
      <c r="AH4" s="216"/>
      <c r="AI4" s="216"/>
      <c r="AJ4" s="216"/>
      <c r="AK4" s="216"/>
      <c r="AL4" s="216"/>
    </row>
    <row r="5" spans="1:38" s="136" customFormat="1" ht="21" x14ac:dyDescent="0.25">
      <c r="A5" s="216"/>
      <c r="B5" s="216"/>
      <c r="C5" s="216"/>
      <c r="D5" s="216"/>
      <c r="E5" s="360" t="s">
        <v>169</v>
      </c>
      <c r="F5" s="360"/>
      <c r="G5" s="360"/>
      <c r="H5" s="360"/>
      <c r="I5" s="360"/>
      <c r="J5" s="360"/>
      <c r="K5" s="360"/>
      <c r="L5" s="216"/>
      <c r="M5" s="332" t="s">
        <v>261</v>
      </c>
      <c r="N5" s="215"/>
      <c r="O5" s="215"/>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1:38" s="4" customFormat="1" ht="18" customHeight="1" x14ac:dyDescent="0.25">
      <c r="A6" s="222"/>
      <c r="B6" s="361" t="s">
        <v>300</v>
      </c>
      <c r="C6" s="361"/>
      <c r="D6" s="361"/>
      <c r="E6" s="361"/>
      <c r="F6" s="361"/>
      <c r="G6" s="361"/>
      <c r="H6" s="361"/>
      <c r="I6" s="361"/>
      <c r="J6" s="361"/>
      <c r="K6" s="361"/>
      <c r="L6" s="222"/>
      <c r="M6" s="326" t="s">
        <v>247</v>
      </c>
      <c r="N6" s="215"/>
      <c r="O6" s="215"/>
      <c r="P6" s="222"/>
      <c r="Q6" s="222"/>
      <c r="R6" s="222"/>
      <c r="S6" s="222"/>
      <c r="T6" s="222"/>
      <c r="U6" s="222"/>
      <c r="V6" s="222"/>
      <c r="W6" s="222"/>
      <c r="X6" s="222"/>
      <c r="Y6" s="222"/>
      <c r="Z6" s="222"/>
      <c r="AA6" s="222"/>
      <c r="AB6" s="222"/>
      <c r="AC6" s="222"/>
      <c r="AD6" s="222"/>
      <c r="AE6" s="222"/>
      <c r="AF6" s="222"/>
      <c r="AG6" s="222"/>
      <c r="AH6" s="222"/>
      <c r="AI6" s="222"/>
      <c r="AJ6" s="222"/>
      <c r="AK6" s="222"/>
      <c r="AL6" s="222"/>
    </row>
    <row r="7" spans="1:38" s="4" customFormat="1" ht="15.75" customHeight="1" x14ac:dyDescent="0.25">
      <c r="A7" s="222"/>
      <c r="B7" s="361"/>
      <c r="C7" s="361"/>
      <c r="D7" s="361"/>
      <c r="E7" s="361"/>
      <c r="F7" s="361"/>
      <c r="G7" s="361"/>
      <c r="H7" s="361"/>
      <c r="I7" s="361"/>
      <c r="J7" s="361"/>
      <c r="K7" s="361"/>
      <c r="L7" s="222"/>
      <c r="M7" s="352" t="s">
        <v>296</v>
      </c>
      <c r="N7" s="215"/>
      <c r="O7" s="215"/>
      <c r="P7" s="222"/>
      <c r="Q7" s="222"/>
      <c r="R7" s="222"/>
      <c r="S7" s="222"/>
      <c r="T7" s="222"/>
      <c r="U7" s="222"/>
      <c r="V7" s="222"/>
      <c r="W7" s="222"/>
      <c r="X7" s="222"/>
      <c r="Y7" s="222"/>
      <c r="Z7" s="222"/>
      <c r="AA7" s="222"/>
      <c r="AB7" s="222"/>
      <c r="AC7" s="222"/>
      <c r="AD7" s="222"/>
      <c r="AE7" s="222"/>
      <c r="AF7" s="222"/>
      <c r="AG7" s="222"/>
      <c r="AH7" s="222"/>
      <c r="AI7" s="222"/>
      <c r="AJ7" s="222"/>
      <c r="AK7" s="222"/>
      <c r="AL7" s="222"/>
    </row>
    <row r="8" spans="1:38" s="137" customFormat="1" ht="8.25" customHeight="1" x14ac:dyDescent="0.25">
      <c r="A8" s="217"/>
      <c r="B8" s="148"/>
      <c r="C8" s="148"/>
      <c r="D8" s="148"/>
      <c r="E8" s="148"/>
      <c r="F8" s="148"/>
      <c r="G8" s="148"/>
      <c r="H8" s="148"/>
      <c r="I8" s="148"/>
      <c r="J8" s="148"/>
      <c r="K8" s="148"/>
      <c r="L8" s="217"/>
      <c r="M8" s="352"/>
      <c r="N8" s="215"/>
      <c r="O8" s="215"/>
      <c r="P8" s="217"/>
      <c r="Q8" s="217"/>
      <c r="R8" s="217"/>
      <c r="S8" s="217"/>
      <c r="T8" s="217"/>
      <c r="U8" s="217"/>
      <c r="V8" s="217"/>
      <c r="W8" s="217"/>
      <c r="X8" s="217"/>
      <c r="Y8" s="217"/>
      <c r="Z8" s="217"/>
      <c r="AA8" s="217"/>
      <c r="AB8" s="217"/>
      <c r="AC8" s="217"/>
      <c r="AD8" s="217"/>
      <c r="AE8" s="217"/>
      <c r="AF8" s="217"/>
      <c r="AG8" s="217"/>
      <c r="AH8" s="217"/>
      <c r="AI8" s="217"/>
      <c r="AJ8" s="217"/>
      <c r="AK8" s="217"/>
      <c r="AL8" s="217"/>
    </row>
    <row r="9" spans="1:38" s="137" customFormat="1" ht="14.25" customHeight="1" x14ac:dyDescent="0.25">
      <c r="A9" s="217"/>
      <c r="B9" s="384" t="s">
        <v>168</v>
      </c>
      <c r="C9" s="384"/>
      <c r="D9" s="384"/>
      <c r="E9" s="384"/>
      <c r="F9" s="384"/>
      <c r="G9" s="384"/>
      <c r="H9" s="384"/>
      <c r="I9" s="384"/>
      <c r="J9" s="384"/>
      <c r="K9" s="384"/>
      <c r="L9" s="217"/>
      <c r="M9" s="352" t="s">
        <v>297</v>
      </c>
      <c r="N9" s="215"/>
      <c r="O9" s="215"/>
      <c r="P9" s="217"/>
      <c r="Q9" s="217"/>
      <c r="R9" s="217"/>
      <c r="S9" s="217"/>
      <c r="T9" s="217"/>
      <c r="U9" s="217"/>
      <c r="V9" s="217"/>
      <c r="W9" s="217"/>
      <c r="X9" s="217"/>
      <c r="Y9" s="217"/>
      <c r="Z9" s="217"/>
      <c r="AA9" s="217"/>
      <c r="AB9" s="217"/>
      <c r="AC9" s="217"/>
      <c r="AD9" s="217"/>
      <c r="AE9" s="217"/>
      <c r="AF9" s="217"/>
      <c r="AG9" s="217"/>
      <c r="AH9" s="217"/>
      <c r="AI9" s="217"/>
      <c r="AJ9" s="217"/>
      <c r="AK9" s="217"/>
      <c r="AL9" s="217"/>
    </row>
    <row r="10" spans="1:38" s="137" customFormat="1" ht="8.25" customHeight="1" x14ac:dyDescent="0.25">
      <c r="A10" s="217"/>
      <c r="B10" s="139"/>
      <c r="C10" s="139"/>
      <c r="D10" s="139"/>
      <c r="E10" s="139"/>
      <c r="F10" s="167"/>
      <c r="G10" s="138"/>
      <c r="H10" s="138"/>
      <c r="I10" s="138"/>
      <c r="J10" s="138"/>
      <c r="K10" s="138"/>
      <c r="L10" s="217"/>
      <c r="M10" s="352"/>
      <c r="N10" s="215"/>
      <c r="O10" s="215"/>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38" s="137" customFormat="1" ht="14.25" customHeight="1" x14ac:dyDescent="0.25">
      <c r="A11" s="217"/>
      <c r="B11" s="157" t="s">
        <v>151</v>
      </c>
      <c r="C11" s="386" t="s">
        <v>173</v>
      </c>
      <c r="D11" s="386"/>
      <c r="E11" s="386"/>
      <c r="F11" s="386"/>
      <c r="G11" s="386"/>
      <c r="H11" s="386"/>
      <c r="I11" s="386"/>
      <c r="J11" s="386"/>
      <c r="K11" s="386"/>
      <c r="L11" s="217"/>
      <c r="M11" s="355" t="s">
        <v>287</v>
      </c>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row>
    <row r="12" spans="1:38" s="137" customFormat="1" ht="8.25" customHeight="1" x14ac:dyDescent="0.25">
      <c r="A12" s="217"/>
      <c r="B12" s="139"/>
      <c r="C12" s="139"/>
      <c r="D12" s="139"/>
      <c r="E12" s="150"/>
      <c r="F12" s="151"/>
      <c r="G12" s="138"/>
      <c r="H12" s="150"/>
      <c r="I12" s="151"/>
      <c r="J12" s="162"/>
      <c r="K12" s="138"/>
      <c r="L12" s="217"/>
      <c r="M12" s="352"/>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row>
    <row r="13" spans="1:38" s="137" customFormat="1" ht="14.25" customHeight="1" x14ac:dyDescent="0.25">
      <c r="A13" s="217"/>
      <c r="B13" s="157" t="s">
        <v>151</v>
      </c>
      <c r="C13" s="400" t="s">
        <v>170</v>
      </c>
      <c r="D13" s="400"/>
      <c r="E13" s="400"/>
      <c r="F13" s="400"/>
      <c r="G13" s="400"/>
      <c r="H13" s="400"/>
      <c r="I13" s="400"/>
      <c r="J13" s="400"/>
      <c r="K13" s="400"/>
      <c r="L13" s="217"/>
      <c r="M13" s="352"/>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row>
    <row r="14" spans="1:38" s="137" customFormat="1" ht="8.25" customHeight="1" x14ac:dyDescent="0.25">
      <c r="A14" s="217"/>
      <c r="B14" s="150"/>
      <c r="C14" s="150"/>
      <c r="D14" s="150"/>
      <c r="E14" s="150"/>
      <c r="F14" s="151"/>
      <c r="G14" s="138"/>
      <c r="H14" s="150"/>
      <c r="I14" s="151"/>
      <c r="J14" s="162"/>
      <c r="K14" s="138"/>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row>
    <row r="15" spans="1:38" s="137" customFormat="1" ht="14.25" customHeight="1" x14ac:dyDescent="0.25">
      <c r="A15" s="217"/>
      <c r="B15" s="157" t="s">
        <v>151</v>
      </c>
      <c r="C15" s="398" t="s">
        <v>22</v>
      </c>
      <c r="D15" s="398"/>
      <c r="E15" s="398"/>
      <c r="F15" s="398"/>
      <c r="G15" s="398"/>
      <c r="H15" s="398"/>
      <c r="I15" s="398"/>
      <c r="J15" s="398"/>
      <c r="K15" s="398"/>
      <c r="L15" s="217"/>
      <c r="M15" s="243" t="s">
        <v>311</v>
      </c>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row>
    <row r="16" spans="1:38" s="137" customFormat="1" ht="14.25" customHeight="1" x14ac:dyDescent="0.25">
      <c r="A16" s="217"/>
      <c r="B16" s="150"/>
      <c r="C16" s="398"/>
      <c r="D16" s="398"/>
      <c r="E16" s="398"/>
      <c r="F16" s="398"/>
      <c r="G16" s="398"/>
      <c r="H16" s="398"/>
      <c r="I16" s="398"/>
      <c r="J16" s="398"/>
      <c r="K16" s="398"/>
      <c r="L16" s="217"/>
      <c r="M16" s="243" t="s">
        <v>310</v>
      </c>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row>
    <row r="17" spans="1:38" s="137" customFormat="1" ht="14.25" customHeight="1" x14ac:dyDescent="0.25">
      <c r="A17" s="217"/>
      <c r="B17" s="150"/>
      <c r="C17" s="398"/>
      <c r="D17" s="398"/>
      <c r="E17" s="398"/>
      <c r="F17" s="398"/>
      <c r="G17" s="398"/>
      <c r="H17" s="398"/>
      <c r="I17" s="398"/>
      <c r="J17" s="398"/>
      <c r="K17" s="398"/>
      <c r="L17" s="217"/>
      <c r="M17" s="352" t="s">
        <v>256</v>
      </c>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row>
    <row r="18" spans="1:38" s="137" customFormat="1" ht="8.25" customHeight="1" x14ac:dyDescent="0.25">
      <c r="A18" s="217"/>
      <c r="B18" s="150"/>
      <c r="C18" s="166"/>
      <c r="D18" s="166"/>
      <c r="E18" s="166"/>
      <c r="F18" s="168"/>
      <c r="G18" s="138"/>
      <c r="H18" s="138"/>
      <c r="I18" s="138"/>
      <c r="J18" s="169"/>
      <c r="K18" s="138"/>
      <c r="L18" s="217"/>
      <c r="M18" s="352"/>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row>
    <row r="19" spans="1:38" s="137" customFormat="1" ht="14.25" customHeight="1" x14ac:dyDescent="0.25">
      <c r="A19" s="217"/>
      <c r="B19" s="157" t="s">
        <v>151</v>
      </c>
      <c r="C19" s="398" t="s">
        <v>171</v>
      </c>
      <c r="D19" s="398"/>
      <c r="E19" s="398"/>
      <c r="F19" s="398"/>
      <c r="G19" s="398"/>
      <c r="H19" s="398"/>
      <c r="I19" s="398"/>
      <c r="J19" s="398"/>
      <c r="K19" s="398"/>
      <c r="L19" s="217"/>
      <c r="M19" s="352"/>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row>
    <row r="20" spans="1:38" s="137" customFormat="1" ht="14.25" customHeight="1" x14ac:dyDescent="0.25">
      <c r="A20" s="217"/>
      <c r="B20" s="150"/>
      <c r="C20" s="398"/>
      <c r="D20" s="398"/>
      <c r="E20" s="398"/>
      <c r="F20" s="398"/>
      <c r="G20" s="398"/>
      <c r="H20" s="398"/>
      <c r="I20" s="398"/>
      <c r="J20" s="398"/>
      <c r="K20" s="398"/>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row>
    <row r="21" spans="1:38" s="137" customFormat="1" ht="8.25" customHeight="1" x14ac:dyDescent="0.25">
      <c r="A21" s="217"/>
      <c r="B21" s="138"/>
      <c r="C21" s="138"/>
      <c r="D21" s="138"/>
      <c r="E21" s="138"/>
      <c r="F21" s="138"/>
      <c r="G21" s="138"/>
      <c r="H21" s="138"/>
      <c r="I21" s="138"/>
      <c r="J21" s="138"/>
      <c r="K21" s="138"/>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row>
    <row r="22" spans="1:38" s="137" customFormat="1" ht="14.25" customHeight="1" x14ac:dyDescent="0.25">
      <c r="A22" s="217"/>
      <c r="B22" s="157" t="s">
        <v>151</v>
      </c>
      <c r="C22" s="384" t="s">
        <v>174</v>
      </c>
      <c r="D22" s="384"/>
      <c r="E22" s="384"/>
      <c r="F22" s="384"/>
      <c r="G22" s="384"/>
      <c r="H22" s="384"/>
      <c r="I22" s="384"/>
      <c r="J22" s="384"/>
      <c r="K22" s="384"/>
      <c r="L22" s="217"/>
      <c r="M22" s="243" t="s">
        <v>261</v>
      </c>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row>
    <row r="23" spans="1:38" s="137" customFormat="1" ht="14.25" customHeight="1" x14ac:dyDescent="0.25">
      <c r="A23" s="217"/>
      <c r="B23" s="138"/>
      <c r="C23" s="384"/>
      <c r="D23" s="384"/>
      <c r="E23" s="384"/>
      <c r="F23" s="384"/>
      <c r="G23" s="384"/>
      <c r="H23" s="384"/>
      <c r="I23" s="384"/>
      <c r="J23" s="384"/>
      <c r="K23" s="384"/>
      <c r="L23" s="217"/>
      <c r="M23" s="243" t="s">
        <v>309</v>
      </c>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row>
    <row r="24" spans="1:38" s="137" customFormat="1" ht="14.25" customHeight="1" x14ac:dyDescent="0.25">
      <c r="A24" s="217"/>
      <c r="B24" s="138"/>
      <c r="C24" s="384"/>
      <c r="D24" s="384"/>
      <c r="E24" s="384"/>
      <c r="F24" s="384"/>
      <c r="G24" s="384"/>
      <c r="H24" s="384"/>
      <c r="I24" s="384"/>
      <c r="J24" s="384"/>
      <c r="K24" s="384"/>
      <c r="L24" s="217"/>
      <c r="M24" s="355" t="s">
        <v>361</v>
      </c>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row>
    <row r="25" spans="1:38" s="137" customFormat="1" ht="8.25" customHeight="1" x14ac:dyDescent="0.25">
      <c r="A25" s="217"/>
      <c r="B25" s="138"/>
      <c r="C25" s="138"/>
      <c r="D25" s="138"/>
      <c r="E25" s="138"/>
      <c r="F25" s="138"/>
      <c r="G25" s="138"/>
      <c r="H25" s="138"/>
      <c r="I25" s="138"/>
      <c r="J25" s="138"/>
      <c r="K25" s="138"/>
      <c r="L25" s="217"/>
      <c r="M25" s="355"/>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row>
    <row r="26" spans="1:38" s="137" customFormat="1" ht="14.25" customHeight="1" x14ac:dyDescent="0.25">
      <c r="A26" s="217"/>
      <c r="B26" s="157" t="s">
        <v>151</v>
      </c>
      <c r="C26" s="384" t="s">
        <v>175</v>
      </c>
      <c r="D26" s="384"/>
      <c r="E26" s="384"/>
      <c r="F26" s="384"/>
      <c r="G26" s="384"/>
      <c r="H26" s="384"/>
      <c r="I26" s="384"/>
      <c r="J26" s="384"/>
      <c r="K26" s="384"/>
      <c r="L26" s="217"/>
      <c r="M26" s="355"/>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row>
    <row r="27" spans="1:38" s="137" customFormat="1" ht="14.25" customHeight="1" x14ac:dyDescent="0.25">
      <c r="A27" s="217"/>
      <c r="B27" s="138"/>
      <c r="C27" s="384"/>
      <c r="D27" s="384"/>
      <c r="E27" s="384"/>
      <c r="F27" s="384"/>
      <c r="G27" s="384"/>
      <c r="H27" s="384"/>
      <c r="I27" s="384"/>
      <c r="J27" s="384"/>
      <c r="K27" s="384"/>
      <c r="L27" s="217"/>
      <c r="M27" s="301"/>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row>
    <row r="28" spans="1:38" s="137" customFormat="1" ht="8.25" customHeight="1" x14ac:dyDescent="0.25">
      <c r="A28" s="217"/>
      <c r="B28" s="138"/>
      <c r="C28" s="138"/>
      <c r="D28" s="138"/>
      <c r="E28" s="138"/>
      <c r="F28" s="138"/>
      <c r="G28" s="138"/>
      <c r="H28" s="138"/>
      <c r="I28" s="138"/>
      <c r="J28" s="138"/>
      <c r="K28" s="138"/>
      <c r="L28" s="217"/>
      <c r="M28" s="301"/>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row>
    <row r="29" spans="1:38" s="137" customFormat="1" ht="14.25" customHeight="1" x14ac:dyDescent="0.25">
      <c r="A29" s="217"/>
      <c r="B29" s="384" t="s">
        <v>177</v>
      </c>
      <c r="C29" s="384"/>
      <c r="D29" s="384"/>
      <c r="E29" s="384"/>
      <c r="F29" s="384"/>
      <c r="G29" s="384"/>
      <c r="H29" s="384"/>
      <c r="I29" s="232" t="s">
        <v>11</v>
      </c>
      <c r="J29" s="159"/>
      <c r="K29" s="159"/>
      <c r="L29" s="217"/>
      <c r="M29" s="301" t="s">
        <v>328</v>
      </c>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row>
    <row r="30" spans="1:38" s="137" customFormat="1" ht="8.25" customHeight="1" x14ac:dyDescent="0.25">
      <c r="A30" s="217"/>
      <c r="B30" s="138"/>
      <c r="C30" s="138"/>
      <c r="D30" s="138"/>
      <c r="E30" s="138"/>
      <c r="F30" s="138"/>
      <c r="G30" s="138"/>
      <c r="H30" s="138"/>
      <c r="I30" s="399" t="s">
        <v>176</v>
      </c>
      <c r="J30" s="399"/>
      <c r="K30" s="399"/>
      <c r="L30" s="217"/>
      <c r="M30" s="308"/>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row>
    <row r="31" spans="1:38" s="137" customFormat="1" ht="14.25" customHeight="1" x14ac:dyDescent="0.25">
      <c r="A31" s="217"/>
      <c r="B31" s="384" t="s">
        <v>301</v>
      </c>
      <c r="C31" s="384"/>
      <c r="D31" s="384"/>
      <c r="E31" s="384"/>
      <c r="F31" s="384"/>
      <c r="G31" s="384"/>
      <c r="H31" s="384"/>
      <c r="I31" s="399"/>
      <c r="J31" s="399"/>
      <c r="K31" s="399"/>
      <c r="L31" s="217"/>
      <c r="M31" s="308"/>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row>
    <row r="32" spans="1:38" s="137" customFormat="1" ht="14.25" customHeight="1" x14ac:dyDescent="0.25">
      <c r="A32" s="217"/>
      <c r="B32" s="384"/>
      <c r="C32" s="384"/>
      <c r="D32" s="384"/>
      <c r="E32" s="384"/>
      <c r="F32" s="384"/>
      <c r="G32" s="384"/>
      <c r="H32" s="384"/>
      <c r="I32" s="399"/>
      <c r="J32" s="399"/>
      <c r="K32" s="399"/>
      <c r="L32" s="217"/>
      <c r="M32" s="308"/>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row>
    <row r="33" spans="1:38" ht="14.25" customHeight="1" x14ac:dyDescent="0.25">
      <c r="A33" s="218"/>
      <c r="B33" s="384"/>
      <c r="C33" s="384"/>
      <c r="D33" s="384"/>
      <c r="E33" s="384"/>
      <c r="F33" s="384"/>
      <c r="G33" s="384"/>
      <c r="H33" s="384"/>
      <c r="I33" s="399"/>
      <c r="J33" s="399"/>
      <c r="K33" s="399"/>
      <c r="L33" s="218"/>
      <c r="M33" s="334"/>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row>
    <row r="34" spans="1:38" ht="8.25" customHeight="1" x14ac:dyDescent="0.25">
      <c r="A34" s="218"/>
      <c r="B34" s="384"/>
      <c r="C34" s="384"/>
      <c r="D34" s="384"/>
      <c r="E34" s="384"/>
      <c r="F34" s="384"/>
      <c r="G34" s="384"/>
      <c r="H34" s="384"/>
      <c r="I34" s="399"/>
      <c r="J34" s="399"/>
      <c r="K34" s="399"/>
      <c r="L34" s="218"/>
      <c r="M34" s="334"/>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row>
    <row r="35" spans="1:38" ht="6.75" customHeight="1" x14ac:dyDescent="0.25">
      <c r="A35" s="218"/>
      <c r="B35" s="384"/>
      <c r="C35" s="384"/>
      <c r="D35" s="384"/>
      <c r="E35" s="384"/>
      <c r="F35" s="384"/>
      <c r="G35" s="384"/>
      <c r="H35" s="384"/>
      <c r="I35" s="159"/>
      <c r="J35" s="159"/>
      <c r="K35" s="159"/>
      <c r="L35" s="218"/>
      <c r="M35" s="334"/>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row>
    <row r="36" spans="1:38" ht="14.25" customHeight="1" x14ac:dyDescent="0.25">
      <c r="A36" s="218"/>
      <c r="B36" s="138"/>
      <c r="C36" s="138"/>
      <c r="D36" s="138"/>
      <c r="E36" s="138"/>
      <c r="F36" s="138"/>
      <c r="G36" s="138"/>
      <c r="H36" s="138"/>
      <c r="I36" s="138"/>
      <c r="J36" s="138"/>
      <c r="K36" s="138"/>
      <c r="L36" s="218"/>
      <c r="M36" s="334"/>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row>
    <row r="37" spans="1:38" ht="14.25" customHeight="1" x14ac:dyDescent="0.25">
      <c r="A37" s="218"/>
      <c r="B37" s="384" t="s">
        <v>299</v>
      </c>
      <c r="C37" s="384"/>
      <c r="D37" s="384"/>
      <c r="E37" s="384"/>
      <c r="F37" s="384"/>
      <c r="G37" s="384"/>
      <c r="H37" s="384"/>
      <c r="I37" s="384"/>
      <c r="J37" s="384"/>
      <c r="K37" s="384"/>
      <c r="L37" s="218"/>
      <c r="M37" s="334"/>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row>
    <row r="38" spans="1:38" ht="14.25" customHeight="1" x14ac:dyDescent="0.25">
      <c r="A38" s="218"/>
      <c r="B38" s="384"/>
      <c r="C38" s="384"/>
      <c r="D38" s="384"/>
      <c r="E38" s="384"/>
      <c r="F38" s="384"/>
      <c r="G38" s="384"/>
      <c r="H38" s="384"/>
      <c r="I38" s="384"/>
      <c r="J38" s="384"/>
      <c r="K38" s="384"/>
      <c r="L38" s="218"/>
      <c r="M38" s="334"/>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row>
    <row r="39" spans="1:38" ht="14.25" customHeight="1" x14ac:dyDescent="0.25">
      <c r="A39" s="218"/>
      <c r="B39" s="397" t="s">
        <v>298</v>
      </c>
      <c r="C39" s="397"/>
      <c r="D39" s="397"/>
      <c r="E39" s="397"/>
      <c r="F39" s="397"/>
      <c r="G39" s="397"/>
      <c r="H39" s="397"/>
      <c r="I39" s="397"/>
      <c r="J39" s="397"/>
      <c r="K39" s="397"/>
      <c r="L39" s="218"/>
      <c r="M39" s="334"/>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row>
    <row r="40" spans="1:38" ht="14.25" customHeight="1" x14ac:dyDescent="0.25">
      <c r="A40" s="218"/>
      <c r="B40" s="397"/>
      <c r="C40" s="397"/>
      <c r="D40" s="397"/>
      <c r="E40" s="397"/>
      <c r="F40" s="397"/>
      <c r="G40" s="397"/>
      <c r="H40" s="397"/>
      <c r="I40" s="397"/>
      <c r="J40" s="397"/>
      <c r="K40" s="397"/>
      <c r="L40" s="218"/>
      <c r="M40" s="334"/>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row>
    <row r="41" spans="1:38" ht="45" customHeight="1" x14ac:dyDescent="0.25">
      <c r="A41" s="218"/>
      <c r="B41" s="218"/>
      <c r="C41" s="218"/>
      <c r="D41" s="218"/>
      <c r="E41" s="218"/>
      <c r="F41" s="218"/>
      <c r="G41" s="218"/>
      <c r="H41" s="218"/>
      <c r="I41" s="218"/>
      <c r="J41" s="218"/>
      <c r="K41" s="220"/>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row>
    <row r="42" spans="1:38" ht="45" customHeight="1" x14ac:dyDescent="0.25">
      <c r="A42" s="218"/>
      <c r="B42" s="218"/>
      <c r="C42" s="218"/>
      <c r="D42" s="218"/>
      <c r="E42" s="218"/>
      <c r="F42" s="218"/>
      <c r="G42" s="218"/>
      <c r="H42" s="218"/>
      <c r="I42" s="218"/>
      <c r="J42" s="218"/>
      <c r="K42" s="220"/>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row>
    <row r="43" spans="1:38" ht="45" customHeight="1" x14ac:dyDescent="0.25">
      <c r="A43" s="218"/>
      <c r="B43" s="218"/>
      <c r="C43" s="218"/>
      <c r="D43" s="218"/>
      <c r="E43" s="218"/>
      <c r="F43" s="218"/>
      <c r="G43" s="218"/>
      <c r="H43" s="218"/>
      <c r="I43" s="218"/>
      <c r="J43" s="218"/>
      <c r="K43" s="220"/>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row>
    <row r="44" spans="1:38" ht="45" customHeight="1" x14ac:dyDescent="0.25">
      <c r="A44" s="218"/>
      <c r="B44" s="218"/>
      <c r="C44" s="218"/>
      <c r="D44" s="218"/>
      <c r="E44" s="218"/>
      <c r="F44" s="218"/>
      <c r="G44" s="218"/>
      <c r="H44" s="218"/>
      <c r="I44" s="218"/>
      <c r="J44" s="218"/>
      <c r="K44" s="220"/>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row>
    <row r="45" spans="1:38" ht="45" customHeight="1" x14ac:dyDescent="0.25">
      <c r="A45" s="218"/>
      <c r="B45" s="218"/>
      <c r="C45" s="218"/>
      <c r="D45" s="218"/>
      <c r="E45" s="218"/>
      <c r="F45" s="218"/>
      <c r="G45" s="218"/>
      <c r="H45" s="218"/>
      <c r="I45" s="218"/>
      <c r="J45" s="218"/>
      <c r="K45" s="220"/>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row>
    <row r="46" spans="1:38" ht="45" customHeight="1" x14ac:dyDescent="0.25">
      <c r="A46" s="218"/>
      <c r="B46" s="218"/>
      <c r="C46" s="218"/>
      <c r="D46" s="218"/>
      <c r="E46" s="218"/>
      <c r="F46" s="218"/>
      <c r="G46" s="218"/>
      <c r="H46" s="218"/>
      <c r="I46" s="218"/>
      <c r="J46" s="218"/>
      <c r="K46" s="220"/>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row>
    <row r="47" spans="1:38" ht="45" customHeight="1" x14ac:dyDescent="0.25">
      <c r="A47" s="218"/>
      <c r="B47" s="218"/>
      <c r="C47" s="218"/>
      <c r="D47" s="218"/>
      <c r="E47" s="218"/>
      <c r="F47" s="218"/>
      <c r="G47" s="218"/>
      <c r="H47" s="218"/>
      <c r="I47" s="218"/>
      <c r="J47" s="218"/>
      <c r="K47" s="220"/>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row>
    <row r="48" spans="1:38" ht="45" customHeight="1" x14ac:dyDescent="0.25">
      <c r="A48" s="218"/>
      <c r="B48" s="218"/>
      <c r="C48" s="218"/>
      <c r="D48" s="218"/>
      <c r="E48" s="218"/>
      <c r="F48" s="218"/>
      <c r="G48" s="218"/>
      <c r="H48" s="218"/>
      <c r="I48" s="218"/>
      <c r="J48" s="218"/>
      <c r="K48" s="220"/>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row>
    <row r="49" spans="1:38" ht="45" customHeight="1" x14ac:dyDescent="0.25">
      <c r="A49" s="218"/>
      <c r="B49" s="218"/>
      <c r="C49" s="218"/>
      <c r="D49" s="218"/>
      <c r="E49" s="218"/>
      <c r="F49" s="218"/>
      <c r="G49" s="218"/>
      <c r="H49" s="218"/>
      <c r="I49" s="218"/>
      <c r="J49" s="218"/>
      <c r="K49" s="220"/>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row>
    <row r="50" spans="1:38" ht="45" customHeight="1" x14ac:dyDescent="0.25">
      <c r="A50" s="218"/>
      <c r="B50" s="218"/>
      <c r="C50" s="218"/>
      <c r="D50" s="218"/>
      <c r="E50" s="218"/>
      <c r="F50" s="218"/>
      <c r="G50" s="218"/>
      <c r="H50" s="218"/>
      <c r="I50" s="218"/>
      <c r="J50" s="218"/>
      <c r="K50" s="220"/>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row>
    <row r="51" spans="1:38" ht="45" customHeight="1" x14ac:dyDescent="0.25">
      <c r="A51" s="218"/>
      <c r="B51" s="218"/>
      <c r="C51" s="218"/>
      <c r="D51" s="218"/>
      <c r="E51" s="218"/>
      <c r="F51" s="218"/>
      <c r="G51" s="218"/>
      <c r="H51" s="218"/>
      <c r="I51" s="218"/>
      <c r="J51" s="218"/>
      <c r="K51" s="220"/>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row>
    <row r="52" spans="1:38" ht="45" customHeight="1" x14ac:dyDescent="0.25">
      <c r="A52" s="218"/>
      <c r="B52" s="218"/>
      <c r="C52" s="218"/>
      <c r="D52" s="218"/>
      <c r="E52" s="218"/>
      <c r="F52" s="218"/>
      <c r="G52" s="218"/>
      <c r="H52" s="218"/>
      <c r="I52" s="218"/>
      <c r="J52" s="218"/>
      <c r="K52" s="220"/>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row>
    <row r="53" spans="1:38" ht="45" customHeight="1" x14ac:dyDescent="0.25">
      <c r="A53" s="218"/>
      <c r="B53" s="218"/>
      <c r="C53" s="218"/>
      <c r="D53" s="218"/>
      <c r="E53" s="218"/>
      <c r="F53" s="218"/>
      <c r="G53" s="218"/>
      <c r="H53" s="218"/>
      <c r="I53" s="218"/>
      <c r="J53" s="218"/>
      <c r="K53" s="220"/>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row>
    <row r="54" spans="1:38" ht="45" customHeight="1" x14ac:dyDescent="0.25">
      <c r="A54" s="218"/>
      <c r="B54" s="218"/>
      <c r="C54" s="218"/>
      <c r="D54" s="218"/>
      <c r="E54" s="218"/>
      <c r="F54" s="218"/>
      <c r="G54" s="218"/>
      <c r="H54" s="218"/>
      <c r="I54" s="218"/>
      <c r="J54" s="218"/>
      <c r="K54" s="220"/>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row>
    <row r="55" spans="1:38" ht="45" customHeight="1" x14ac:dyDescent="0.25">
      <c r="A55" s="218"/>
      <c r="B55" s="218"/>
      <c r="C55" s="218"/>
      <c r="D55" s="218"/>
      <c r="E55" s="218"/>
      <c r="F55" s="218"/>
      <c r="G55" s="218"/>
      <c r="H55" s="218"/>
      <c r="I55" s="218"/>
      <c r="J55" s="218"/>
      <c r="K55" s="220"/>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row>
    <row r="56" spans="1:38" ht="45" customHeight="1" x14ac:dyDescent="0.25">
      <c r="A56" s="218"/>
      <c r="B56" s="218"/>
      <c r="C56" s="218"/>
      <c r="D56" s="218"/>
      <c r="E56" s="218"/>
      <c r="F56" s="218"/>
      <c r="G56" s="218"/>
      <c r="H56" s="218"/>
      <c r="I56" s="218"/>
      <c r="J56" s="218"/>
      <c r="K56" s="220"/>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row>
    <row r="57" spans="1:38" ht="45" customHeight="1" x14ac:dyDescent="0.25">
      <c r="A57" s="218"/>
      <c r="B57" s="218"/>
      <c r="C57" s="218"/>
      <c r="D57" s="218"/>
      <c r="E57" s="218"/>
      <c r="F57" s="218"/>
      <c r="G57" s="218"/>
      <c r="H57" s="218"/>
      <c r="I57" s="218"/>
      <c r="J57" s="218"/>
      <c r="K57" s="220"/>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row>
    <row r="58" spans="1:38" ht="45" customHeight="1" x14ac:dyDescent="0.25">
      <c r="A58" s="218"/>
      <c r="B58" s="218"/>
      <c r="C58" s="218"/>
      <c r="D58" s="218"/>
      <c r="E58" s="218"/>
      <c r="F58" s="218"/>
      <c r="G58" s="218"/>
      <c r="H58" s="218"/>
      <c r="I58" s="218"/>
      <c r="J58" s="218"/>
      <c r="K58" s="220"/>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row>
    <row r="59" spans="1:38" ht="45" customHeight="1" x14ac:dyDescent="0.25">
      <c r="A59" s="218"/>
      <c r="B59" s="218"/>
      <c r="C59" s="218"/>
      <c r="D59" s="218"/>
      <c r="E59" s="218"/>
      <c r="F59" s="218"/>
      <c r="G59" s="218"/>
      <c r="H59" s="218"/>
      <c r="I59" s="218"/>
      <c r="J59" s="218"/>
      <c r="K59" s="220"/>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row>
    <row r="60" spans="1:38" ht="45" customHeight="1" x14ac:dyDescent="0.25">
      <c r="A60" s="218"/>
      <c r="B60" s="218"/>
      <c r="C60" s="218"/>
      <c r="D60" s="218"/>
      <c r="E60" s="218"/>
      <c r="F60" s="218"/>
      <c r="G60" s="218"/>
      <c r="H60" s="218"/>
      <c r="I60" s="218"/>
      <c r="J60" s="218"/>
      <c r="K60" s="220"/>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row>
    <row r="61" spans="1:38" ht="45" customHeight="1" x14ac:dyDescent="0.25">
      <c r="A61" s="218"/>
      <c r="B61" s="218"/>
      <c r="C61" s="218"/>
      <c r="D61" s="218"/>
      <c r="E61" s="218"/>
      <c r="F61" s="218"/>
      <c r="G61" s="218"/>
      <c r="H61" s="218"/>
      <c r="I61" s="218"/>
      <c r="J61" s="218"/>
      <c r="K61" s="220"/>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row>
    <row r="62" spans="1:38" ht="45" customHeight="1" x14ac:dyDescent="0.25">
      <c r="A62" s="218"/>
      <c r="B62" s="218"/>
      <c r="C62" s="218"/>
      <c r="D62" s="218"/>
      <c r="E62" s="218"/>
      <c r="F62" s="218"/>
      <c r="G62" s="218"/>
      <c r="H62" s="218"/>
      <c r="I62" s="218"/>
      <c r="J62" s="218"/>
      <c r="K62" s="220"/>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row>
    <row r="63" spans="1:38" ht="45" customHeight="1" x14ac:dyDescent="0.25">
      <c r="A63" s="218"/>
      <c r="B63" s="218"/>
      <c r="C63" s="218"/>
      <c r="D63" s="218"/>
      <c r="E63" s="218"/>
      <c r="F63" s="218"/>
      <c r="G63" s="218"/>
      <c r="H63" s="218"/>
      <c r="I63" s="218"/>
      <c r="J63" s="218"/>
      <c r="K63" s="220"/>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row>
    <row r="64" spans="1:38" ht="45" customHeight="1" x14ac:dyDescent="0.25">
      <c r="A64" s="218"/>
      <c r="B64" s="218"/>
      <c r="C64" s="218"/>
      <c r="D64" s="218"/>
      <c r="E64" s="218"/>
      <c r="F64" s="218"/>
      <c r="G64" s="218"/>
      <c r="H64" s="218"/>
      <c r="I64" s="218"/>
      <c r="J64" s="218"/>
      <c r="K64" s="220"/>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row>
    <row r="65" spans="1:38" ht="45" customHeight="1" x14ac:dyDescent="0.25">
      <c r="A65" s="218"/>
      <c r="B65" s="218"/>
      <c r="C65" s="218"/>
      <c r="D65" s="218"/>
      <c r="E65" s="218"/>
      <c r="F65" s="218"/>
      <c r="G65" s="218"/>
      <c r="H65" s="218"/>
      <c r="I65" s="218"/>
      <c r="J65" s="218"/>
      <c r="K65" s="220"/>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row>
    <row r="66" spans="1:38" ht="45" customHeight="1" x14ac:dyDescent="0.25">
      <c r="A66" s="218"/>
      <c r="B66" s="218"/>
      <c r="C66" s="218"/>
      <c r="D66" s="218"/>
      <c r="E66" s="218"/>
      <c r="F66" s="218"/>
      <c r="G66" s="218"/>
      <c r="H66" s="218"/>
      <c r="I66" s="218"/>
      <c r="J66" s="218"/>
      <c r="K66" s="220"/>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row>
    <row r="67" spans="1:38" ht="45" customHeight="1" x14ac:dyDescent="0.25">
      <c r="A67" s="218"/>
      <c r="B67" s="218"/>
      <c r="C67" s="218"/>
      <c r="D67" s="218"/>
      <c r="E67" s="218"/>
      <c r="F67" s="218"/>
      <c r="G67" s="218"/>
      <c r="H67" s="218"/>
      <c r="I67" s="218"/>
      <c r="J67" s="218"/>
      <c r="K67" s="220"/>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row>
    <row r="68" spans="1:38" ht="45" customHeight="1" x14ac:dyDescent="0.25">
      <c r="A68" s="218"/>
      <c r="B68" s="218"/>
      <c r="C68" s="218"/>
      <c r="D68" s="218"/>
      <c r="E68" s="218"/>
      <c r="F68" s="218"/>
      <c r="G68" s="218"/>
      <c r="H68" s="218"/>
      <c r="I68" s="218"/>
      <c r="J68" s="218"/>
      <c r="K68" s="220"/>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row>
    <row r="69" spans="1:38" ht="45" customHeight="1" x14ac:dyDescent="0.25">
      <c r="A69" s="218"/>
      <c r="B69" s="218"/>
      <c r="C69" s="218"/>
      <c r="D69" s="218"/>
      <c r="E69" s="218"/>
      <c r="F69" s="218"/>
      <c r="G69" s="218"/>
      <c r="H69" s="218"/>
      <c r="I69" s="218"/>
      <c r="J69" s="218"/>
      <c r="K69" s="220"/>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row>
    <row r="70" spans="1:38" ht="45" customHeight="1" x14ac:dyDescent="0.25">
      <c r="A70" s="218"/>
      <c r="B70" s="218"/>
      <c r="C70" s="218"/>
      <c r="D70" s="218"/>
      <c r="E70" s="218"/>
      <c r="F70" s="218"/>
      <c r="G70" s="218"/>
      <c r="H70" s="218"/>
      <c r="I70" s="218"/>
      <c r="J70" s="218"/>
      <c r="K70" s="220"/>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row>
    <row r="71" spans="1:38" ht="45" customHeight="1" x14ac:dyDescent="0.25">
      <c r="A71" s="218"/>
      <c r="B71" s="218"/>
      <c r="C71" s="218"/>
      <c r="D71" s="218"/>
      <c r="E71" s="218"/>
      <c r="F71" s="218"/>
      <c r="G71" s="218"/>
      <c r="H71" s="218"/>
      <c r="I71" s="218"/>
      <c r="J71" s="218"/>
      <c r="K71" s="220"/>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row>
    <row r="72" spans="1:38" ht="45" customHeight="1" x14ac:dyDescent="0.25">
      <c r="A72" s="218"/>
      <c r="B72" s="218"/>
      <c r="C72" s="218"/>
      <c r="D72" s="218"/>
      <c r="E72" s="218"/>
      <c r="F72" s="218"/>
      <c r="G72" s="218"/>
      <c r="H72" s="218"/>
      <c r="I72" s="218"/>
      <c r="J72" s="218"/>
      <c r="K72" s="220"/>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row>
    <row r="73" spans="1:38" ht="45" customHeight="1" x14ac:dyDescent="0.25">
      <c r="A73" s="218"/>
      <c r="B73" s="218"/>
      <c r="C73" s="218"/>
      <c r="D73" s="218"/>
      <c r="E73" s="218"/>
      <c r="F73" s="218"/>
      <c r="G73" s="218"/>
      <c r="H73" s="218"/>
      <c r="I73" s="218"/>
      <c r="J73" s="218"/>
      <c r="K73" s="220"/>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row>
    <row r="74" spans="1:38" ht="45" customHeight="1" x14ac:dyDescent="0.25">
      <c r="A74" s="218"/>
      <c r="B74" s="218"/>
      <c r="C74" s="218"/>
      <c r="D74" s="218"/>
      <c r="E74" s="218"/>
      <c r="F74" s="218"/>
      <c r="G74" s="218"/>
      <c r="H74" s="218"/>
      <c r="I74" s="218"/>
      <c r="J74" s="218"/>
      <c r="K74" s="220"/>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row>
    <row r="75" spans="1:38" ht="45" customHeight="1" x14ac:dyDescent="0.25">
      <c r="A75" s="218"/>
      <c r="B75" s="218"/>
      <c r="C75" s="218"/>
      <c r="D75" s="218"/>
      <c r="E75" s="218"/>
      <c r="F75" s="218"/>
      <c r="G75" s="218"/>
      <c r="H75" s="218"/>
      <c r="I75" s="218"/>
      <c r="J75" s="218"/>
      <c r="K75" s="220"/>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row>
    <row r="76" spans="1:38" ht="45" customHeight="1" x14ac:dyDescent="0.25">
      <c r="A76" s="218"/>
      <c r="B76" s="218"/>
      <c r="C76" s="218"/>
      <c r="D76" s="218"/>
      <c r="E76" s="218"/>
      <c r="F76" s="218"/>
      <c r="G76" s="218"/>
      <c r="H76" s="218"/>
      <c r="I76" s="218"/>
      <c r="J76" s="218"/>
      <c r="K76" s="220"/>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row>
    <row r="77" spans="1:38" ht="45" customHeight="1" x14ac:dyDescent="0.25">
      <c r="A77" s="218"/>
      <c r="B77" s="218"/>
      <c r="C77" s="218"/>
      <c r="D77" s="218"/>
      <c r="E77" s="218"/>
      <c r="F77" s="218"/>
      <c r="G77" s="218"/>
      <c r="H77" s="218"/>
      <c r="I77" s="218"/>
      <c r="J77" s="218"/>
      <c r="K77" s="220"/>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row>
    <row r="78" spans="1:38" ht="45" customHeight="1" x14ac:dyDescent="0.25">
      <c r="A78" s="218"/>
      <c r="B78" s="218"/>
      <c r="C78" s="218"/>
      <c r="D78" s="218"/>
      <c r="E78" s="218"/>
      <c r="F78" s="218"/>
      <c r="G78" s="218"/>
      <c r="H78" s="218"/>
      <c r="I78" s="218"/>
      <c r="J78" s="218"/>
      <c r="K78" s="220"/>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row>
    <row r="79" spans="1:38" ht="45" customHeight="1" x14ac:dyDescent="0.25">
      <c r="A79" s="218"/>
      <c r="B79" s="218"/>
      <c r="C79" s="218"/>
      <c r="D79" s="218"/>
      <c r="E79" s="218"/>
      <c r="F79" s="218"/>
      <c r="G79" s="218"/>
      <c r="H79" s="218"/>
      <c r="I79" s="218"/>
      <c r="J79" s="218"/>
      <c r="K79" s="220"/>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row>
    <row r="80" spans="1:38" ht="45" customHeight="1" x14ac:dyDescent="0.25">
      <c r="A80" s="218"/>
      <c r="B80" s="218"/>
      <c r="C80" s="218"/>
      <c r="D80" s="218"/>
      <c r="E80" s="218"/>
      <c r="F80" s="218"/>
      <c r="G80" s="218"/>
      <c r="H80" s="218"/>
      <c r="I80" s="218"/>
      <c r="J80" s="218"/>
      <c r="K80" s="220"/>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row>
    <row r="81" spans="1:38" ht="45" customHeight="1" x14ac:dyDescent="0.25">
      <c r="A81" s="218"/>
      <c r="B81" s="218"/>
      <c r="C81" s="218"/>
      <c r="D81" s="218"/>
      <c r="E81" s="218"/>
      <c r="F81" s="218"/>
      <c r="G81" s="218"/>
      <c r="H81" s="218"/>
      <c r="I81" s="218"/>
      <c r="J81" s="218"/>
      <c r="K81" s="220"/>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row>
    <row r="82" spans="1:38" ht="45" customHeight="1" x14ac:dyDescent="0.25">
      <c r="A82" s="218"/>
      <c r="B82" s="218"/>
      <c r="C82" s="218"/>
      <c r="D82" s="218"/>
      <c r="E82" s="218"/>
      <c r="F82" s="218"/>
      <c r="G82" s="218"/>
      <c r="H82" s="218"/>
      <c r="I82" s="218"/>
      <c r="J82" s="218"/>
      <c r="K82" s="220"/>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row>
    <row r="83" spans="1:38" ht="45" customHeight="1" x14ac:dyDescent="0.25">
      <c r="A83" s="218"/>
      <c r="B83" s="218"/>
      <c r="C83" s="218"/>
      <c r="D83" s="218"/>
      <c r="E83" s="218"/>
      <c r="F83" s="218"/>
      <c r="G83" s="218"/>
      <c r="H83" s="218"/>
      <c r="I83" s="218"/>
      <c r="J83" s="218"/>
      <c r="K83" s="220"/>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row>
    <row r="84" spans="1:38" ht="45" customHeight="1" x14ac:dyDescent="0.25">
      <c r="A84" s="218"/>
      <c r="B84" s="218"/>
      <c r="C84" s="218"/>
      <c r="D84" s="218"/>
      <c r="E84" s="218"/>
      <c r="F84" s="218"/>
      <c r="G84" s="218"/>
      <c r="H84" s="218"/>
      <c r="I84" s="218"/>
      <c r="J84" s="218"/>
      <c r="K84" s="220"/>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row>
    <row r="85" spans="1:38" ht="45" customHeight="1" x14ac:dyDescent="0.25">
      <c r="A85" s="218"/>
      <c r="B85" s="218"/>
      <c r="C85" s="218"/>
      <c r="D85" s="218"/>
      <c r="E85" s="218"/>
      <c r="F85" s="218"/>
      <c r="G85" s="218"/>
      <c r="H85" s="218"/>
      <c r="I85" s="218"/>
      <c r="J85" s="218"/>
      <c r="K85" s="220"/>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row>
    <row r="86" spans="1:38" ht="45" customHeight="1" x14ac:dyDescent="0.25">
      <c r="A86" s="218"/>
      <c r="B86" s="218"/>
      <c r="C86" s="218"/>
      <c r="D86" s="218"/>
      <c r="E86" s="218"/>
      <c r="F86" s="218"/>
      <c r="G86" s="218"/>
      <c r="H86" s="218"/>
      <c r="I86" s="218"/>
      <c r="J86" s="218"/>
      <c r="K86" s="220"/>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row>
    <row r="87" spans="1:38" ht="45" customHeight="1" x14ac:dyDescent="0.25">
      <c r="A87" s="218"/>
      <c r="B87" s="218"/>
      <c r="C87" s="218"/>
      <c r="D87" s="218"/>
      <c r="E87" s="218"/>
      <c r="F87" s="218"/>
      <c r="G87" s="218"/>
      <c r="H87" s="218"/>
      <c r="I87" s="218"/>
      <c r="J87" s="218"/>
      <c r="K87" s="220"/>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row>
    <row r="88" spans="1:38" ht="45" customHeight="1" x14ac:dyDescent="0.25">
      <c r="A88" s="218"/>
      <c r="B88" s="218"/>
      <c r="C88" s="218"/>
      <c r="D88" s="218"/>
      <c r="E88" s="218"/>
      <c r="F88" s="218"/>
      <c r="G88" s="218"/>
      <c r="H88" s="218"/>
      <c r="I88" s="218"/>
      <c r="J88" s="218"/>
      <c r="K88" s="220"/>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row>
    <row r="89" spans="1:38" ht="45" customHeight="1" x14ac:dyDescent="0.25">
      <c r="A89" s="218"/>
      <c r="B89" s="218"/>
      <c r="C89" s="218"/>
      <c r="D89" s="218"/>
      <c r="E89" s="218"/>
      <c r="F89" s="218"/>
      <c r="G89" s="218"/>
      <c r="H89" s="218"/>
      <c r="I89" s="218"/>
      <c r="J89" s="218"/>
      <c r="K89" s="220"/>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row>
  </sheetData>
  <mergeCells count="21">
    <mergeCell ref="M7:M8"/>
    <mergeCell ref="M9:M10"/>
    <mergeCell ref="B29:H29"/>
    <mergeCell ref="I30:K34"/>
    <mergeCell ref="C15:K17"/>
    <mergeCell ref="C26:K27"/>
    <mergeCell ref="C13:K13"/>
    <mergeCell ref="M17:M19"/>
    <mergeCell ref="M11:M13"/>
    <mergeCell ref="M24:M26"/>
    <mergeCell ref="B39:K40"/>
    <mergeCell ref="E5:K5"/>
    <mergeCell ref="C11:K11"/>
    <mergeCell ref="B2:K2"/>
    <mergeCell ref="B3:K3"/>
    <mergeCell ref="C22:K24"/>
    <mergeCell ref="B9:K9"/>
    <mergeCell ref="C19:K20"/>
    <mergeCell ref="B6:K7"/>
    <mergeCell ref="B37:K38"/>
    <mergeCell ref="B31:H35"/>
  </mergeCells>
  <phoneticPr fontId="6" type="noConversion"/>
  <conditionalFormatting sqref="M11:M13">
    <cfRule type="expression" dxfId="10" priority="1" stopIfTrue="1">
      <formula>IF($AY$1=1,TRUE,FALSE)</formula>
    </cfRule>
  </conditionalFormatting>
  <hyperlinks>
    <hyperlink ref="M11:M12" location="Pacht!A1" display="Zu-/Verpachtung bzw. Zu-/Verkauf"/>
    <hyperlink ref="M9:M10" location="'Internetfenster 2'!F6" display="Vergleichsbetrieb à"/>
    <hyperlink ref="M7:M8" location="'Internetfenster 1'!A1" display="Ausgangsbetrieb à"/>
    <hyperlink ref="M24" location="'EHW-Änderungen'!E5" display="Änderungen des Einheitswertes"/>
    <hyperlink ref="M17" location="'Beiträge aus EHW'!I5" display="Beiträge aus dem Einheitswert à"/>
    <hyperlink ref="M29" location="'Öffentliche Gelder'!F5" display="Info öffentliche Gelder à"/>
  </hyperlinks>
  <printOptions horizontalCentered="1"/>
  <pageMargins left="0.59055118110236227" right="0.59055118110236227" top="0.59055118110236227" bottom="0.59055118110236227" header="0.51181102362204722" footer="0.51181102362204722"/>
  <pageSetup paperSize="9" scale="81" orientation="landscape" r:id="rId1"/>
  <headerFooter alignWithMargins="0">
    <oddFooter>&amp;L&amp;8SVB-Beitragsberechnungsprogramm&amp;C&amp;8Bitte beachten: Die ermittelten Ergebnisse dienen lediglich der Information und sind unverbindlich!&amp;R&amp;8&amp;D</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AM85"/>
  <sheetViews>
    <sheetView showGridLines="0" zoomScale="85" zoomScaleNormal="85" workbookViewId="0"/>
  </sheetViews>
  <sheetFormatPr baseColWidth="10" defaultColWidth="11" defaultRowHeight="13.8" x14ac:dyDescent="0.25"/>
  <cols>
    <col min="1" max="1" width="11" style="134"/>
    <col min="2" max="2" width="2.59765625" style="134" customWidth="1"/>
    <col min="3" max="3" width="22.59765625" style="134" customWidth="1"/>
    <col min="4" max="4" width="19.59765625" style="134" customWidth="1"/>
    <col min="5" max="5" width="16.5" style="134" customWidth="1"/>
    <col min="6" max="6" width="21.5" style="134" customWidth="1"/>
    <col min="7" max="8" width="14.8984375" style="134" customWidth="1"/>
    <col min="9" max="9" width="13.19921875" style="134" customWidth="1"/>
    <col min="10" max="10" width="11.8984375" style="135" customWidth="1"/>
    <col min="11" max="11" width="4.09765625" style="134" customWidth="1"/>
    <col min="12" max="12" width="30.59765625" style="134" customWidth="1"/>
    <col min="13" max="13" width="11" style="134"/>
    <col min="14" max="16" width="13.69921875" style="134" customWidth="1"/>
    <col min="17" max="16384" width="11" style="134"/>
  </cols>
  <sheetData>
    <row r="1" spans="1:39" x14ac:dyDescent="0.25">
      <c r="A1" s="213"/>
      <c r="B1" s="213"/>
      <c r="C1" s="213"/>
      <c r="D1" s="213"/>
      <c r="E1" s="213"/>
      <c r="F1" s="213"/>
      <c r="G1" s="213"/>
      <c r="H1" s="213"/>
      <c r="I1" s="213"/>
      <c r="J1" s="214"/>
      <c r="K1" s="213"/>
      <c r="L1" s="213"/>
      <c r="M1" s="213"/>
      <c r="N1" s="213"/>
      <c r="O1" s="213"/>
      <c r="P1" s="213"/>
      <c r="Q1" s="218"/>
      <c r="R1" s="218"/>
      <c r="S1" s="218"/>
      <c r="T1" s="218"/>
      <c r="U1" s="218"/>
      <c r="V1" s="218"/>
      <c r="W1" s="218"/>
      <c r="X1" s="218"/>
      <c r="Y1" s="218"/>
      <c r="Z1" s="218"/>
      <c r="AA1" s="218"/>
      <c r="AB1" s="218"/>
      <c r="AC1" s="218"/>
      <c r="AD1" s="218"/>
      <c r="AE1" s="218"/>
      <c r="AF1" s="218"/>
      <c r="AG1" s="218"/>
      <c r="AH1" s="218"/>
      <c r="AI1" s="218"/>
      <c r="AJ1" s="218"/>
      <c r="AK1" s="218"/>
      <c r="AL1" s="218"/>
      <c r="AM1" s="218"/>
    </row>
    <row r="2" spans="1:39" s="136" customFormat="1" ht="21" x14ac:dyDescent="0.25">
      <c r="A2" s="215"/>
      <c r="B2" s="359" t="s">
        <v>231</v>
      </c>
      <c r="C2" s="359"/>
      <c r="D2" s="359"/>
      <c r="E2" s="359"/>
      <c r="F2" s="359"/>
      <c r="G2" s="359"/>
      <c r="H2" s="359"/>
      <c r="I2" s="359"/>
      <c r="J2" s="359"/>
      <c r="K2" s="215"/>
      <c r="L2" s="215"/>
      <c r="M2" s="215"/>
      <c r="N2" s="215"/>
      <c r="O2" s="215"/>
      <c r="P2" s="215"/>
      <c r="Q2" s="216"/>
      <c r="R2" s="216"/>
      <c r="S2" s="216"/>
      <c r="T2" s="216"/>
      <c r="U2" s="216"/>
      <c r="V2" s="216"/>
      <c r="W2" s="216"/>
      <c r="X2" s="216"/>
      <c r="Y2" s="216"/>
      <c r="Z2" s="216"/>
      <c r="AA2" s="216"/>
      <c r="AB2" s="216"/>
      <c r="AC2" s="216"/>
      <c r="AD2" s="216"/>
      <c r="AE2" s="216"/>
      <c r="AF2" s="216"/>
      <c r="AG2" s="216"/>
      <c r="AH2" s="216"/>
      <c r="AI2" s="216"/>
      <c r="AJ2" s="216"/>
      <c r="AK2" s="216"/>
      <c r="AL2" s="216"/>
      <c r="AM2" s="216"/>
    </row>
    <row r="3" spans="1:39" s="136" customFormat="1" ht="21" x14ac:dyDescent="0.25">
      <c r="A3" s="215"/>
      <c r="B3" s="359" t="s">
        <v>131</v>
      </c>
      <c r="C3" s="359"/>
      <c r="D3" s="359"/>
      <c r="E3" s="359"/>
      <c r="F3" s="359"/>
      <c r="G3" s="359"/>
      <c r="H3" s="359"/>
      <c r="I3" s="359"/>
      <c r="J3" s="359"/>
      <c r="K3" s="215"/>
      <c r="L3" s="215"/>
      <c r="M3" s="215"/>
      <c r="N3" s="215"/>
      <c r="O3" s="215"/>
      <c r="P3" s="215"/>
      <c r="Q3" s="216"/>
      <c r="R3" s="216"/>
      <c r="S3" s="216"/>
      <c r="T3" s="216"/>
      <c r="U3" s="216"/>
      <c r="V3" s="216"/>
      <c r="W3" s="216"/>
      <c r="X3" s="216"/>
      <c r="Y3" s="216"/>
      <c r="Z3" s="216"/>
      <c r="AA3" s="216"/>
      <c r="AB3" s="216"/>
      <c r="AC3" s="216"/>
      <c r="AD3" s="216"/>
      <c r="AE3" s="216"/>
      <c r="AF3" s="216"/>
      <c r="AG3" s="216"/>
      <c r="AH3" s="216"/>
      <c r="AI3" s="216"/>
      <c r="AJ3" s="216"/>
      <c r="AK3" s="216"/>
      <c r="AL3" s="216"/>
      <c r="AM3" s="216"/>
    </row>
    <row r="4" spans="1:39" s="136" customFormat="1" ht="6" customHeight="1" x14ac:dyDescent="0.25">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row>
    <row r="5" spans="1:39" s="136" customFormat="1" ht="21" x14ac:dyDescent="0.25">
      <c r="A5" s="216"/>
      <c r="B5" s="216"/>
      <c r="C5" s="216"/>
      <c r="D5" s="221"/>
      <c r="E5" s="360" t="s">
        <v>364</v>
      </c>
      <c r="F5" s="360"/>
      <c r="G5" s="360"/>
      <c r="H5" s="360"/>
      <c r="I5" s="360"/>
      <c r="J5" s="360"/>
      <c r="K5" s="216"/>
      <c r="L5" s="332" t="s">
        <v>261</v>
      </c>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row>
    <row r="6" spans="1:39" s="4" customFormat="1" ht="18" customHeight="1" x14ac:dyDescent="0.25">
      <c r="A6" s="222"/>
      <c r="B6" s="384" t="s">
        <v>313</v>
      </c>
      <c r="C6" s="384"/>
      <c r="D6" s="384"/>
      <c r="E6" s="384"/>
      <c r="F6" s="384"/>
      <c r="G6" s="384"/>
      <c r="H6" s="384"/>
      <c r="I6" s="384"/>
      <c r="J6" s="384"/>
      <c r="K6" s="222"/>
      <c r="L6" s="326" t="s">
        <v>247</v>
      </c>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row>
    <row r="7" spans="1:39" s="4" customFormat="1" ht="15" customHeight="1" x14ac:dyDescent="0.25">
      <c r="A7" s="222"/>
      <c r="B7" s="384"/>
      <c r="C7" s="384"/>
      <c r="D7" s="384"/>
      <c r="E7" s="384"/>
      <c r="F7" s="384"/>
      <c r="G7" s="384"/>
      <c r="H7" s="384"/>
      <c r="I7" s="384"/>
      <c r="J7" s="384"/>
      <c r="K7" s="222"/>
      <c r="L7" s="352" t="s">
        <v>296</v>
      </c>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row>
    <row r="8" spans="1:39" s="137" customFormat="1" ht="14.25" customHeight="1" x14ac:dyDescent="0.25">
      <c r="A8" s="217"/>
      <c r="B8" s="384" t="s">
        <v>232</v>
      </c>
      <c r="C8" s="384"/>
      <c r="D8" s="384"/>
      <c r="E8" s="384"/>
      <c r="F8" s="384"/>
      <c r="G8" s="384"/>
      <c r="H8" s="384"/>
      <c r="I8" s="384"/>
      <c r="J8" s="384"/>
      <c r="K8" s="217"/>
      <c r="L8" s="352"/>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row>
    <row r="9" spans="1:39" s="137" customFormat="1" ht="14.25" customHeight="1" x14ac:dyDescent="0.25">
      <c r="A9" s="217"/>
      <c r="B9" s="384"/>
      <c r="C9" s="384"/>
      <c r="D9" s="384"/>
      <c r="E9" s="384"/>
      <c r="F9" s="384"/>
      <c r="G9" s="384"/>
      <c r="H9" s="384"/>
      <c r="I9" s="384"/>
      <c r="J9" s="384"/>
      <c r="K9" s="217"/>
      <c r="L9" s="352" t="s">
        <v>297</v>
      </c>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row>
    <row r="10" spans="1:39" s="137" customFormat="1" ht="14.25" customHeight="1" x14ac:dyDescent="0.25">
      <c r="A10" s="217"/>
      <c r="B10" s="384"/>
      <c r="C10" s="384"/>
      <c r="D10" s="384"/>
      <c r="E10" s="384"/>
      <c r="F10" s="384"/>
      <c r="G10" s="384"/>
      <c r="H10" s="384"/>
      <c r="I10" s="384"/>
      <c r="J10" s="384"/>
      <c r="K10" s="217"/>
      <c r="L10" s="352"/>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row>
    <row r="11" spans="1:39" s="137" customFormat="1" ht="14.25" customHeight="1" x14ac:dyDescent="0.25">
      <c r="A11" s="217"/>
      <c r="B11" s="138"/>
      <c r="C11" s="138"/>
      <c r="D11" s="166"/>
      <c r="E11" s="168"/>
      <c r="F11" s="138"/>
      <c r="G11" s="166"/>
      <c r="H11" s="168"/>
      <c r="I11" s="188"/>
      <c r="J11" s="138"/>
      <c r="K11" s="217"/>
      <c r="L11" s="355" t="s">
        <v>287</v>
      </c>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row>
    <row r="12" spans="1:39" s="137" customFormat="1" ht="14.25" customHeight="1" x14ac:dyDescent="0.25">
      <c r="A12" s="217"/>
      <c r="B12" s="384" t="s">
        <v>183</v>
      </c>
      <c r="C12" s="384"/>
      <c r="D12" s="384"/>
      <c r="E12" s="384"/>
      <c r="F12" s="384"/>
      <c r="G12" s="384"/>
      <c r="H12" s="384"/>
      <c r="I12" s="384"/>
      <c r="J12" s="384"/>
      <c r="K12" s="217"/>
      <c r="L12" s="352"/>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row>
    <row r="13" spans="1:39" s="137" customFormat="1" ht="14.25" customHeight="1" x14ac:dyDescent="0.25">
      <c r="A13" s="217"/>
      <c r="B13" s="384"/>
      <c r="C13" s="384"/>
      <c r="D13" s="384"/>
      <c r="E13" s="384"/>
      <c r="F13" s="384"/>
      <c r="G13" s="384"/>
      <c r="H13" s="384"/>
      <c r="I13" s="384"/>
      <c r="J13" s="384"/>
      <c r="K13" s="217"/>
      <c r="L13" s="352"/>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row>
    <row r="14" spans="1:39" s="137" customFormat="1" ht="14.25" customHeight="1" x14ac:dyDescent="0.25">
      <c r="A14" s="217"/>
      <c r="B14" s="336"/>
      <c r="C14" s="166"/>
      <c r="D14" s="166"/>
      <c r="E14" s="166"/>
      <c r="F14" s="166"/>
      <c r="G14" s="166"/>
      <c r="H14" s="166"/>
      <c r="I14" s="166"/>
      <c r="J14" s="166"/>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s="137" customFormat="1" ht="14.25" customHeight="1" x14ac:dyDescent="0.25">
      <c r="A15" s="217"/>
      <c r="B15" s="398" t="s">
        <v>227</v>
      </c>
      <c r="C15" s="398"/>
      <c r="D15" s="398"/>
      <c r="E15" s="398"/>
      <c r="F15" s="398"/>
      <c r="G15" s="398"/>
      <c r="H15" s="398"/>
      <c r="I15" s="398"/>
      <c r="J15" s="398"/>
      <c r="K15" s="217"/>
      <c r="L15" s="243" t="s">
        <v>311</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row>
    <row r="16" spans="1:39" s="137" customFormat="1" ht="14.25" customHeight="1" x14ac:dyDescent="0.25">
      <c r="A16" s="217"/>
      <c r="B16" s="398"/>
      <c r="C16" s="398"/>
      <c r="D16" s="398"/>
      <c r="E16" s="398"/>
      <c r="F16" s="398"/>
      <c r="G16" s="398"/>
      <c r="H16" s="398"/>
      <c r="I16" s="398"/>
      <c r="J16" s="398"/>
      <c r="K16" s="217"/>
      <c r="L16" s="243" t="s">
        <v>310</v>
      </c>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row>
    <row r="17" spans="1:39" s="137" customFormat="1" ht="14.25" customHeight="1" x14ac:dyDescent="0.25">
      <c r="A17" s="217"/>
      <c r="B17" s="398"/>
      <c r="C17" s="398"/>
      <c r="D17" s="398"/>
      <c r="E17" s="398"/>
      <c r="F17" s="398"/>
      <c r="G17" s="398"/>
      <c r="H17" s="398"/>
      <c r="I17" s="398"/>
      <c r="J17" s="398"/>
      <c r="K17" s="217"/>
      <c r="L17" s="378" t="s">
        <v>327</v>
      </c>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row>
    <row r="18" spans="1:39" s="137" customFormat="1" ht="14.25" customHeight="1" x14ac:dyDescent="0.25">
      <c r="A18" s="217"/>
      <c r="B18" s="398"/>
      <c r="C18" s="398"/>
      <c r="D18" s="398"/>
      <c r="E18" s="398"/>
      <c r="F18" s="398"/>
      <c r="G18" s="398"/>
      <c r="H18" s="398"/>
      <c r="I18" s="398"/>
      <c r="J18" s="398"/>
      <c r="K18" s="217"/>
      <c r="L18" s="378"/>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s="137" customFormat="1" ht="14.25" customHeight="1" x14ac:dyDescent="0.25">
      <c r="A19" s="217"/>
      <c r="B19" s="157"/>
      <c r="C19" s="166"/>
      <c r="D19" s="166"/>
      <c r="E19" s="166"/>
      <c r="F19" s="166"/>
      <c r="G19" s="166"/>
      <c r="H19" s="166"/>
      <c r="I19" s="166"/>
      <c r="J19" s="166"/>
      <c r="K19" s="217"/>
      <c r="L19" s="301"/>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row>
    <row r="20" spans="1:39" s="137" customFormat="1" ht="14.25" customHeight="1" x14ac:dyDescent="0.25">
      <c r="A20" s="217"/>
      <c r="B20" s="404" t="s">
        <v>360</v>
      </c>
      <c r="C20" s="404"/>
      <c r="D20" s="404"/>
      <c r="E20" s="404"/>
      <c r="F20" s="404"/>
      <c r="G20" s="404"/>
      <c r="H20" s="404"/>
      <c r="I20" s="404"/>
      <c r="J20" s="404"/>
      <c r="K20" s="217"/>
      <c r="L20" s="352" t="s">
        <v>306</v>
      </c>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s="137" customFormat="1" ht="14.25" customHeight="1" x14ac:dyDescent="0.25">
      <c r="A21" s="217"/>
      <c r="B21" s="401" t="s">
        <v>365</v>
      </c>
      <c r="C21" s="403"/>
      <c r="D21" s="403"/>
      <c r="E21" s="403"/>
      <c r="F21" s="403"/>
      <c r="G21" s="403"/>
      <c r="H21" s="403"/>
      <c r="I21" s="403"/>
      <c r="J21" s="403"/>
      <c r="K21" s="217"/>
      <c r="L21" s="352"/>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row>
    <row r="22" spans="1:39" s="137" customFormat="1" ht="14.25" customHeight="1" x14ac:dyDescent="0.25">
      <c r="A22" s="217"/>
      <c r="B22" s="403"/>
      <c r="C22" s="403"/>
      <c r="D22" s="403"/>
      <c r="E22" s="403"/>
      <c r="F22" s="403"/>
      <c r="G22" s="403"/>
      <c r="H22" s="403"/>
      <c r="I22" s="403"/>
      <c r="J22" s="403"/>
      <c r="K22" s="217"/>
      <c r="L22" s="301"/>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row>
    <row r="23" spans="1:39" s="137" customFormat="1" ht="14.25" customHeight="1" x14ac:dyDescent="0.25">
      <c r="A23" s="217"/>
      <c r="B23" s="403"/>
      <c r="C23" s="403"/>
      <c r="D23" s="403"/>
      <c r="E23" s="403"/>
      <c r="F23" s="403"/>
      <c r="G23" s="403"/>
      <c r="H23" s="403"/>
      <c r="I23" s="403"/>
      <c r="J23" s="403"/>
      <c r="K23" s="217"/>
      <c r="L23" s="301"/>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s="137" customFormat="1" ht="14.25" customHeight="1" x14ac:dyDescent="0.25">
      <c r="A24" s="217"/>
      <c r="B24" s="403"/>
      <c r="C24" s="403"/>
      <c r="D24" s="403"/>
      <c r="E24" s="403"/>
      <c r="F24" s="403"/>
      <c r="G24" s="403"/>
      <c r="H24" s="403"/>
      <c r="I24" s="403"/>
      <c r="J24" s="403"/>
      <c r="K24" s="217"/>
      <c r="L24" s="301"/>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row>
    <row r="25" spans="1:39" s="137" customFormat="1" ht="14.25" customHeight="1" x14ac:dyDescent="0.25">
      <c r="A25" s="217"/>
      <c r="B25" s="405" t="s">
        <v>366</v>
      </c>
      <c r="C25" s="405"/>
      <c r="D25" s="405"/>
      <c r="E25" s="405"/>
      <c r="F25" s="405"/>
      <c r="G25" s="405"/>
      <c r="H25" s="405"/>
      <c r="I25" s="405"/>
      <c r="J25" s="405"/>
      <c r="K25" s="217"/>
      <c r="L25" s="301"/>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row>
    <row r="26" spans="1:39" s="137" customFormat="1" ht="14.25" customHeight="1" x14ac:dyDescent="0.25">
      <c r="A26" s="217"/>
      <c r="B26" s="405"/>
      <c r="C26" s="405"/>
      <c r="D26" s="405"/>
      <c r="E26" s="405"/>
      <c r="F26" s="405"/>
      <c r="G26" s="405"/>
      <c r="H26" s="405"/>
      <c r="I26" s="405"/>
      <c r="J26" s="405"/>
      <c r="K26" s="217"/>
      <c r="L26" s="301"/>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row>
    <row r="27" spans="1:39" s="137" customFormat="1" ht="14.25" customHeight="1" x14ac:dyDescent="0.25">
      <c r="A27" s="217"/>
      <c r="B27" s="405"/>
      <c r="C27" s="405"/>
      <c r="D27" s="405"/>
      <c r="E27" s="405"/>
      <c r="F27" s="405"/>
      <c r="G27" s="405"/>
      <c r="H27" s="405"/>
      <c r="I27" s="405"/>
      <c r="J27" s="405"/>
      <c r="K27" s="217"/>
      <c r="L27" s="30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row>
    <row r="28" spans="1:39" s="137" customFormat="1" ht="14.25" customHeight="1" x14ac:dyDescent="0.25">
      <c r="A28" s="217"/>
      <c r="B28" s="404"/>
      <c r="C28" s="404"/>
      <c r="D28" s="404"/>
      <c r="E28" s="404"/>
      <c r="F28" s="404"/>
      <c r="G28" s="404"/>
      <c r="H28" s="404"/>
      <c r="I28" s="404"/>
      <c r="J28" s="404"/>
      <c r="K28" s="217"/>
      <c r="L28" s="30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row>
    <row r="29" spans="1:39" ht="14.25" customHeight="1" x14ac:dyDescent="0.25">
      <c r="A29" s="218"/>
      <c r="B29" s="401"/>
      <c r="C29" s="401"/>
      <c r="D29" s="401"/>
      <c r="E29" s="401"/>
      <c r="F29" s="401"/>
      <c r="G29" s="401"/>
      <c r="H29" s="401"/>
      <c r="I29" s="401"/>
      <c r="J29" s="401"/>
      <c r="K29" s="218"/>
      <c r="L29" s="301"/>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row>
    <row r="30" spans="1:39" ht="14.25" customHeight="1" x14ac:dyDescent="0.25">
      <c r="A30" s="218"/>
      <c r="B30" s="401"/>
      <c r="C30" s="401"/>
      <c r="D30" s="401"/>
      <c r="E30" s="401"/>
      <c r="F30" s="401"/>
      <c r="G30" s="401"/>
      <c r="H30" s="401"/>
      <c r="I30" s="401"/>
      <c r="J30" s="401"/>
      <c r="K30" s="218"/>
      <c r="L30" s="301"/>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row>
    <row r="31" spans="1:39" ht="14.25" customHeight="1" x14ac:dyDescent="0.25">
      <c r="A31" s="218"/>
      <c r="B31" s="401"/>
      <c r="C31" s="401"/>
      <c r="D31" s="401"/>
      <c r="E31" s="401"/>
      <c r="F31" s="401"/>
      <c r="G31" s="401"/>
      <c r="H31" s="401"/>
      <c r="I31" s="401"/>
      <c r="J31" s="401"/>
      <c r="K31" s="218"/>
      <c r="L31" s="301"/>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row>
    <row r="32" spans="1:39" ht="14.25" customHeight="1" x14ac:dyDescent="0.25">
      <c r="A32" s="218"/>
      <c r="B32" s="402"/>
      <c r="C32" s="402"/>
      <c r="D32" s="402"/>
      <c r="E32" s="402"/>
      <c r="F32" s="402"/>
      <c r="G32" s="402"/>
      <c r="H32" s="402"/>
      <c r="I32" s="402"/>
      <c r="J32" s="402"/>
      <c r="K32" s="218"/>
      <c r="L32" s="301"/>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row>
    <row r="33" spans="1:39" ht="14.25" customHeight="1" x14ac:dyDescent="0.25">
      <c r="A33" s="218"/>
      <c r="B33" s="402"/>
      <c r="C33" s="402"/>
      <c r="D33" s="402"/>
      <c r="E33" s="402"/>
      <c r="F33" s="402"/>
      <c r="G33" s="402"/>
      <c r="H33" s="402"/>
      <c r="I33" s="402"/>
      <c r="J33" s="402"/>
      <c r="K33" s="218"/>
      <c r="L33" s="301"/>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row>
    <row r="34" spans="1:39" ht="14.25" customHeight="1" x14ac:dyDescent="0.25">
      <c r="A34" s="218"/>
      <c r="B34" s="402"/>
      <c r="C34" s="402"/>
      <c r="D34" s="402"/>
      <c r="E34" s="402"/>
      <c r="F34" s="402"/>
      <c r="G34" s="402"/>
      <c r="H34" s="402"/>
      <c r="I34" s="402"/>
      <c r="J34" s="402"/>
      <c r="K34" s="218"/>
      <c r="L34" s="301"/>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row>
    <row r="35" spans="1:39" ht="14.25" customHeight="1" x14ac:dyDescent="0.25">
      <c r="A35" s="218"/>
      <c r="B35" s="397" t="s">
        <v>298</v>
      </c>
      <c r="C35" s="397"/>
      <c r="D35" s="397"/>
      <c r="E35" s="397"/>
      <c r="F35" s="397"/>
      <c r="G35" s="397"/>
      <c r="H35" s="397"/>
      <c r="I35" s="397"/>
      <c r="J35" s="397"/>
      <c r="K35" s="218"/>
      <c r="L35" s="301"/>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row>
    <row r="36" spans="1:39" ht="14.25" customHeight="1" x14ac:dyDescent="0.25">
      <c r="A36" s="218"/>
      <c r="B36" s="397"/>
      <c r="C36" s="397"/>
      <c r="D36" s="397"/>
      <c r="E36" s="397"/>
      <c r="F36" s="397"/>
      <c r="G36" s="397"/>
      <c r="H36" s="397"/>
      <c r="I36" s="397"/>
      <c r="J36" s="397"/>
      <c r="K36" s="218"/>
      <c r="L36" s="301"/>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row>
    <row r="37" spans="1:39" ht="45" customHeight="1" x14ac:dyDescent="0.25">
      <c r="A37" s="218"/>
      <c r="B37" s="218"/>
      <c r="C37" s="218"/>
      <c r="D37" s="218"/>
      <c r="E37" s="218"/>
      <c r="F37" s="218"/>
      <c r="G37" s="218"/>
      <c r="H37" s="218"/>
      <c r="I37" s="218"/>
      <c r="J37" s="220"/>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row>
    <row r="38" spans="1:39" ht="45" customHeight="1" x14ac:dyDescent="0.25">
      <c r="A38" s="218"/>
      <c r="B38" s="218"/>
      <c r="C38" s="218"/>
      <c r="D38" s="218"/>
      <c r="E38" s="218"/>
      <c r="F38" s="218"/>
      <c r="G38" s="218"/>
      <c r="H38" s="218"/>
      <c r="I38" s="218"/>
      <c r="J38" s="220"/>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row>
    <row r="39" spans="1:39" ht="45" customHeight="1" x14ac:dyDescent="0.25">
      <c r="A39" s="218"/>
      <c r="B39" s="218"/>
      <c r="C39" s="218"/>
      <c r="D39" s="218"/>
      <c r="E39" s="218"/>
      <c r="F39" s="218"/>
      <c r="G39" s="218"/>
      <c r="H39" s="218"/>
      <c r="I39" s="218"/>
      <c r="J39" s="220"/>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row>
    <row r="40" spans="1:39" ht="45" customHeight="1" x14ac:dyDescent="0.25">
      <c r="A40" s="218"/>
      <c r="B40" s="218"/>
      <c r="C40" s="218"/>
      <c r="D40" s="218"/>
      <c r="E40" s="218"/>
      <c r="F40" s="218"/>
      <c r="G40" s="218"/>
      <c r="H40" s="218"/>
      <c r="I40" s="218"/>
      <c r="J40" s="220"/>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row>
    <row r="41" spans="1:39" ht="45" customHeight="1" x14ac:dyDescent="0.25">
      <c r="A41" s="218"/>
      <c r="B41" s="218"/>
      <c r="C41" s="218"/>
      <c r="D41" s="218"/>
      <c r="E41" s="218"/>
      <c r="F41" s="218"/>
      <c r="G41" s="218"/>
      <c r="H41" s="218"/>
      <c r="I41" s="218"/>
      <c r="J41" s="220"/>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row>
    <row r="42" spans="1:39" ht="45" customHeight="1" x14ac:dyDescent="0.25">
      <c r="A42" s="218"/>
      <c r="B42" s="218"/>
      <c r="C42" s="218"/>
      <c r="D42" s="218"/>
      <c r="E42" s="218"/>
      <c r="F42" s="218"/>
      <c r="G42" s="218"/>
      <c r="H42" s="218"/>
      <c r="I42" s="218"/>
      <c r="J42" s="220"/>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row>
    <row r="43" spans="1:39" ht="45" customHeight="1" x14ac:dyDescent="0.25">
      <c r="A43" s="218"/>
      <c r="B43" s="218"/>
      <c r="C43" s="218"/>
      <c r="D43" s="218"/>
      <c r="E43" s="218"/>
      <c r="F43" s="218"/>
      <c r="G43" s="218"/>
      <c r="H43" s="218"/>
      <c r="I43" s="218"/>
      <c r="J43" s="220"/>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row>
    <row r="44" spans="1:39" ht="45" customHeight="1" x14ac:dyDescent="0.25">
      <c r="A44" s="218"/>
      <c r="B44" s="218"/>
      <c r="C44" s="218"/>
      <c r="D44" s="218"/>
      <c r="E44" s="218"/>
      <c r="F44" s="218"/>
      <c r="G44" s="218"/>
      <c r="H44" s="218"/>
      <c r="I44" s="218"/>
      <c r="J44" s="220"/>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row>
    <row r="45" spans="1:39" ht="45" customHeight="1" x14ac:dyDescent="0.25">
      <c r="A45" s="218"/>
      <c r="B45" s="218"/>
      <c r="C45" s="218"/>
      <c r="D45" s="218"/>
      <c r="E45" s="218"/>
      <c r="F45" s="218"/>
      <c r="G45" s="218"/>
      <c r="H45" s="218"/>
      <c r="I45" s="218"/>
      <c r="J45" s="220"/>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row>
    <row r="46" spans="1:39" ht="45" customHeight="1" x14ac:dyDescent="0.25">
      <c r="A46" s="218"/>
      <c r="B46" s="218"/>
      <c r="C46" s="218"/>
      <c r="D46" s="218"/>
      <c r="E46" s="218"/>
      <c r="F46" s="218"/>
      <c r="G46" s="218"/>
      <c r="H46" s="218"/>
      <c r="I46" s="218"/>
      <c r="J46" s="220"/>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row>
    <row r="47" spans="1:39" ht="45" customHeight="1" x14ac:dyDescent="0.25">
      <c r="A47" s="218"/>
      <c r="B47" s="218"/>
      <c r="C47" s="218"/>
      <c r="D47" s="218"/>
      <c r="E47" s="218"/>
      <c r="F47" s="218"/>
      <c r="G47" s="218"/>
      <c r="H47" s="218"/>
      <c r="I47" s="218"/>
      <c r="J47" s="220"/>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row>
    <row r="48" spans="1:39" ht="45" customHeight="1" x14ac:dyDescent="0.25">
      <c r="A48" s="218"/>
      <c r="B48" s="218"/>
      <c r="C48" s="218"/>
      <c r="D48" s="218"/>
      <c r="E48" s="218"/>
      <c r="F48" s="218"/>
      <c r="G48" s="218"/>
      <c r="H48" s="218"/>
      <c r="I48" s="218"/>
      <c r="J48" s="220"/>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row>
    <row r="49" spans="1:39" ht="45" customHeight="1" x14ac:dyDescent="0.25">
      <c r="A49" s="218"/>
      <c r="B49" s="218"/>
      <c r="C49" s="218"/>
      <c r="D49" s="218"/>
      <c r="E49" s="218"/>
      <c r="F49" s="218"/>
      <c r="G49" s="218"/>
      <c r="H49" s="218"/>
      <c r="I49" s="218"/>
      <c r="J49" s="220"/>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row>
    <row r="50" spans="1:39" ht="45" customHeight="1" x14ac:dyDescent="0.25">
      <c r="A50" s="218"/>
      <c r="B50" s="218"/>
      <c r="C50" s="218"/>
      <c r="D50" s="218"/>
      <c r="E50" s="218"/>
      <c r="F50" s="218"/>
      <c r="G50" s="218"/>
      <c r="H50" s="218"/>
      <c r="I50" s="218"/>
      <c r="J50" s="220"/>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row>
    <row r="51" spans="1:39" ht="45" customHeight="1" x14ac:dyDescent="0.25">
      <c r="A51" s="218"/>
      <c r="B51" s="218"/>
      <c r="C51" s="218"/>
      <c r="D51" s="218"/>
      <c r="E51" s="218"/>
      <c r="F51" s="218"/>
      <c r="G51" s="218"/>
      <c r="H51" s="218"/>
      <c r="I51" s="218"/>
      <c r="J51" s="220"/>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row>
    <row r="52" spans="1:39" ht="45" customHeight="1" x14ac:dyDescent="0.25">
      <c r="A52" s="218"/>
      <c r="B52" s="218"/>
      <c r="C52" s="218"/>
      <c r="D52" s="218"/>
      <c r="E52" s="218"/>
      <c r="F52" s="218"/>
      <c r="G52" s="218"/>
      <c r="H52" s="218"/>
      <c r="I52" s="218"/>
      <c r="J52" s="220"/>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row>
    <row r="53" spans="1:39" ht="45" customHeight="1" x14ac:dyDescent="0.25">
      <c r="A53" s="218"/>
      <c r="B53" s="218"/>
      <c r="C53" s="218"/>
      <c r="D53" s="218"/>
      <c r="E53" s="218"/>
      <c r="F53" s="218"/>
      <c r="G53" s="218"/>
      <c r="H53" s="218"/>
      <c r="I53" s="218"/>
      <c r="J53" s="220"/>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row>
    <row r="54" spans="1:39" ht="45" customHeight="1" x14ac:dyDescent="0.25">
      <c r="A54" s="218"/>
      <c r="B54" s="218"/>
      <c r="C54" s="218"/>
      <c r="D54" s="218"/>
      <c r="E54" s="218"/>
      <c r="F54" s="218"/>
      <c r="G54" s="218"/>
      <c r="H54" s="218"/>
      <c r="I54" s="218"/>
      <c r="J54" s="220"/>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39" ht="45" customHeight="1" x14ac:dyDescent="0.25">
      <c r="A55" s="218"/>
      <c r="B55" s="218"/>
      <c r="C55" s="218"/>
      <c r="D55" s="218"/>
      <c r="E55" s="218"/>
      <c r="F55" s="218"/>
      <c r="G55" s="218"/>
      <c r="H55" s="218"/>
      <c r="I55" s="218"/>
      <c r="J55" s="220"/>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39" ht="45" customHeight="1" x14ac:dyDescent="0.25">
      <c r="A56" s="218"/>
      <c r="B56" s="218"/>
      <c r="C56" s="218"/>
      <c r="D56" s="218"/>
      <c r="E56" s="218"/>
      <c r="F56" s="218"/>
      <c r="G56" s="218"/>
      <c r="H56" s="218"/>
      <c r="I56" s="218"/>
      <c r="J56" s="220"/>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row>
    <row r="57" spans="1:39" ht="45" customHeight="1" x14ac:dyDescent="0.25">
      <c r="A57" s="218"/>
      <c r="B57" s="218"/>
      <c r="C57" s="218"/>
      <c r="D57" s="218"/>
      <c r="E57" s="218"/>
      <c r="F57" s="218"/>
      <c r="G57" s="218"/>
      <c r="H57" s="218"/>
      <c r="I57" s="218"/>
      <c r="J57" s="220"/>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row>
    <row r="58" spans="1:39" ht="45" customHeight="1" x14ac:dyDescent="0.25">
      <c r="A58" s="218"/>
      <c r="B58" s="218"/>
      <c r="C58" s="218"/>
      <c r="D58" s="218"/>
      <c r="E58" s="218"/>
      <c r="F58" s="218"/>
      <c r="G58" s="218"/>
      <c r="H58" s="218"/>
      <c r="I58" s="218"/>
      <c r="J58" s="220"/>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row>
    <row r="59" spans="1:39" ht="45" customHeight="1" x14ac:dyDescent="0.25">
      <c r="A59" s="218"/>
      <c r="B59" s="218"/>
      <c r="C59" s="218"/>
      <c r="D59" s="218"/>
      <c r="E59" s="218"/>
      <c r="F59" s="218"/>
      <c r="G59" s="218"/>
      <c r="H59" s="218"/>
      <c r="I59" s="218"/>
      <c r="J59" s="220"/>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row>
    <row r="60" spans="1:39" ht="45" customHeight="1" x14ac:dyDescent="0.25">
      <c r="A60" s="218"/>
      <c r="B60" s="218"/>
      <c r="C60" s="218"/>
      <c r="D60" s="218"/>
      <c r="E60" s="218"/>
      <c r="F60" s="218"/>
      <c r="G60" s="218"/>
      <c r="H60" s="218"/>
      <c r="I60" s="218"/>
      <c r="J60" s="220"/>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row>
    <row r="61" spans="1:39" ht="45" customHeight="1" x14ac:dyDescent="0.25">
      <c r="A61" s="218"/>
      <c r="B61" s="218"/>
      <c r="C61" s="218"/>
      <c r="D61" s="218"/>
      <c r="E61" s="218"/>
      <c r="F61" s="218"/>
      <c r="G61" s="218"/>
      <c r="H61" s="218"/>
      <c r="I61" s="218"/>
      <c r="J61" s="220"/>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row>
    <row r="62" spans="1:39" ht="45" customHeight="1" x14ac:dyDescent="0.25">
      <c r="A62" s="218"/>
      <c r="B62" s="218"/>
      <c r="C62" s="218"/>
      <c r="D62" s="218"/>
      <c r="E62" s="218"/>
      <c r="F62" s="218"/>
      <c r="G62" s="218"/>
      <c r="H62" s="218"/>
      <c r="I62" s="218"/>
      <c r="J62" s="220"/>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row>
    <row r="63" spans="1:39" ht="45" customHeight="1" x14ac:dyDescent="0.25">
      <c r="A63" s="218"/>
      <c r="B63" s="218"/>
      <c r="C63" s="218"/>
      <c r="D63" s="218"/>
      <c r="E63" s="218"/>
      <c r="F63" s="218"/>
      <c r="G63" s="218"/>
      <c r="H63" s="218"/>
      <c r="I63" s="218"/>
      <c r="J63" s="220"/>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row>
    <row r="64" spans="1:39" ht="45" customHeight="1" x14ac:dyDescent="0.25">
      <c r="A64" s="218"/>
      <c r="B64" s="218"/>
      <c r="C64" s="218"/>
      <c r="D64" s="218"/>
      <c r="E64" s="218"/>
      <c r="F64" s="218"/>
      <c r="G64" s="218"/>
      <c r="H64" s="218"/>
      <c r="I64" s="218"/>
      <c r="J64" s="220"/>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row>
    <row r="65" spans="1:39" ht="45" customHeight="1" x14ac:dyDescent="0.25">
      <c r="A65" s="218"/>
      <c r="B65" s="218"/>
      <c r="C65" s="218"/>
      <c r="D65" s="218"/>
      <c r="E65" s="218"/>
      <c r="F65" s="218"/>
      <c r="G65" s="218"/>
      <c r="H65" s="218"/>
      <c r="I65" s="218"/>
      <c r="J65" s="220"/>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row>
    <row r="66" spans="1:39" ht="45" customHeight="1" x14ac:dyDescent="0.25">
      <c r="A66" s="218"/>
      <c r="B66" s="218"/>
      <c r="C66" s="218"/>
      <c r="D66" s="218"/>
      <c r="E66" s="218"/>
      <c r="F66" s="218"/>
      <c r="G66" s="218"/>
      <c r="H66" s="218"/>
      <c r="I66" s="218"/>
      <c r="J66" s="220"/>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row>
    <row r="67" spans="1:39" ht="45" customHeight="1" x14ac:dyDescent="0.25">
      <c r="A67" s="218"/>
      <c r="B67" s="218"/>
      <c r="C67" s="218"/>
      <c r="D67" s="218"/>
      <c r="E67" s="218"/>
      <c r="F67" s="218"/>
      <c r="G67" s="218"/>
      <c r="H67" s="218"/>
      <c r="I67" s="218"/>
      <c r="J67" s="220"/>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row>
    <row r="68" spans="1:39" ht="45" customHeight="1" x14ac:dyDescent="0.25">
      <c r="A68" s="218"/>
      <c r="B68" s="218"/>
      <c r="C68" s="218"/>
      <c r="D68" s="218"/>
      <c r="E68" s="218"/>
      <c r="F68" s="218"/>
      <c r="G68" s="218"/>
      <c r="H68" s="218"/>
      <c r="I68" s="218"/>
      <c r="J68" s="220"/>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row>
    <row r="69" spans="1:39" ht="45" customHeight="1" x14ac:dyDescent="0.25">
      <c r="A69" s="218"/>
      <c r="B69" s="218"/>
      <c r="C69" s="218"/>
      <c r="D69" s="218"/>
      <c r="E69" s="218"/>
      <c r="F69" s="218"/>
      <c r="G69" s="218"/>
      <c r="H69" s="218"/>
      <c r="I69" s="218"/>
      <c r="J69" s="220"/>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row>
    <row r="70" spans="1:39" ht="45" customHeight="1" x14ac:dyDescent="0.25">
      <c r="A70" s="218"/>
      <c r="B70" s="218"/>
      <c r="C70" s="218"/>
      <c r="D70" s="218"/>
      <c r="E70" s="218"/>
      <c r="F70" s="218"/>
      <c r="G70" s="218"/>
      <c r="H70" s="218"/>
      <c r="I70" s="218"/>
      <c r="J70" s="220"/>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row>
    <row r="71" spans="1:39" ht="45" customHeight="1" x14ac:dyDescent="0.25">
      <c r="A71" s="218"/>
      <c r="B71" s="218"/>
      <c r="C71" s="218"/>
      <c r="D71" s="218"/>
      <c r="E71" s="218"/>
      <c r="F71" s="218"/>
      <c r="G71" s="218"/>
      <c r="H71" s="218"/>
      <c r="I71" s="218"/>
      <c r="J71" s="220"/>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row>
    <row r="72" spans="1:39" ht="45" customHeight="1" x14ac:dyDescent="0.25">
      <c r="A72" s="218"/>
      <c r="B72" s="218"/>
      <c r="C72" s="218"/>
      <c r="D72" s="218"/>
      <c r="E72" s="218"/>
      <c r="F72" s="218"/>
      <c r="G72" s="218"/>
      <c r="H72" s="218"/>
      <c r="I72" s="218"/>
      <c r="J72" s="220"/>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row>
    <row r="73" spans="1:39" ht="45" customHeight="1" x14ac:dyDescent="0.25">
      <c r="A73" s="218"/>
      <c r="B73" s="218"/>
      <c r="C73" s="218"/>
      <c r="D73" s="218"/>
      <c r="E73" s="218"/>
      <c r="F73" s="218"/>
      <c r="G73" s="218"/>
      <c r="H73" s="218"/>
      <c r="I73" s="218"/>
      <c r="J73" s="220"/>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row>
    <row r="74" spans="1:39" ht="45" customHeight="1" x14ac:dyDescent="0.25">
      <c r="A74" s="218"/>
      <c r="B74" s="218"/>
      <c r="C74" s="218"/>
      <c r="D74" s="218"/>
      <c r="E74" s="218"/>
      <c r="F74" s="218"/>
      <c r="G74" s="218"/>
      <c r="H74" s="218"/>
      <c r="I74" s="218"/>
      <c r="J74" s="220"/>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row>
    <row r="75" spans="1:39" ht="45" customHeight="1" x14ac:dyDescent="0.25">
      <c r="A75" s="218"/>
      <c r="B75" s="218"/>
      <c r="C75" s="218"/>
      <c r="D75" s="218"/>
      <c r="E75" s="218"/>
      <c r="F75" s="218"/>
      <c r="G75" s="218"/>
      <c r="H75" s="218"/>
      <c r="I75" s="218"/>
      <c r="J75" s="220"/>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row>
    <row r="76" spans="1:39" ht="45" customHeight="1" x14ac:dyDescent="0.25">
      <c r="A76" s="218"/>
      <c r="B76" s="218"/>
      <c r="C76" s="218"/>
      <c r="D76" s="218"/>
      <c r="E76" s="218"/>
      <c r="F76" s="218"/>
      <c r="G76" s="218"/>
      <c r="H76" s="218"/>
      <c r="I76" s="218"/>
      <c r="J76" s="220"/>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row>
    <row r="77" spans="1:39" ht="45" customHeight="1" x14ac:dyDescent="0.25">
      <c r="A77" s="218"/>
      <c r="B77" s="218"/>
      <c r="C77" s="218"/>
      <c r="D77" s="218"/>
      <c r="E77" s="218"/>
      <c r="F77" s="218"/>
      <c r="G77" s="218"/>
      <c r="H77" s="218"/>
      <c r="I77" s="218"/>
      <c r="J77" s="220"/>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row>
    <row r="78" spans="1:39" ht="45" customHeight="1" x14ac:dyDescent="0.25">
      <c r="A78" s="218"/>
      <c r="B78" s="218"/>
      <c r="C78" s="218"/>
      <c r="D78" s="218"/>
      <c r="E78" s="218"/>
      <c r="F78" s="218"/>
      <c r="G78" s="218"/>
      <c r="H78" s="218"/>
      <c r="I78" s="218"/>
      <c r="J78" s="220"/>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row>
    <row r="79" spans="1:39" ht="45" customHeight="1" x14ac:dyDescent="0.25">
      <c r="A79" s="218"/>
      <c r="B79" s="218"/>
      <c r="C79" s="218"/>
      <c r="D79" s="218"/>
      <c r="E79" s="218"/>
      <c r="F79" s="218"/>
      <c r="G79" s="218"/>
      <c r="H79" s="218"/>
      <c r="I79" s="218"/>
      <c r="J79" s="220"/>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row>
    <row r="80" spans="1:39" ht="45" customHeight="1" x14ac:dyDescent="0.25">
      <c r="A80" s="218"/>
      <c r="B80" s="218"/>
      <c r="C80" s="218"/>
      <c r="D80" s="218"/>
      <c r="E80" s="218"/>
      <c r="F80" s="218"/>
      <c r="G80" s="218"/>
      <c r="H80" s="218"/>
      <c r="I80" s="218"/>
      <c r="J80" s="220"/>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row>
    <row r="81" spans="1:39" ht="45" customHeight="1" x14ac:dyDescent="0.25">
      <c r="A81" s="218"/>
      <c r="B81" s="218"/>
      <c r="C81" s="218"/>
      <c r="D81" s="218"/>
      <c r="E81" s="218"/>
      <c r="F81" s="218"/>
      <c r="G81" s="218"/>
      <c r="H81" s="218"/>
      <c r="I81" s="218"/>
      <c r="J81" s="220"/>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row>
    <row r="82" spans="1:39" ht="45" customHeight="1" x14ac:dyDescent="0.25">
      <c r="A82" s="218"/>
      <c r="B82" s="218"/>
      <c r="C82" s="218"/>
      <c r="D82" s="218"/>
      <c r="E82" s="218"/>
      <c r="F82" s="218"/>
      <c r="G82" s="218"/>
      <c r="H82" s="218"/>
      <c r="I82" s="218"/>
      <c r="J82" s="220"/>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row>
    <row r="83" spans="1:39" ht="45" customHeight="1" x14ac:dyDescent="0.25"/>
    <row r="84" spans="1:39" ht="45" customHeight="1" x14ac:dyDescent="0.25"/>
    <row r="85" spans="1:39" ht="45" customHeight="1" x14ac:dyDescent="0.25"/>
  </sheetData>
  <mergeCells count="19">
    <mergeCell ref="L7:L8"/>
    <mergeCell ref="L9:L10"/>
    <mergeCell ref="L11:L13"/>
    <mergeCell ref="L17:L18"/>
    <mergeCell ref="B35:J36"/>
    <mergeCell ref="B29:J31"/>
    <mergeCell ref="B32:J34"/>
    <mergeCell ref="L20:L21"/>
    <mergeCell ref="B21:J24"/>
    <mergeCell ref="B6:J7"/>
    <mergeCell ref="B20:J20"/>
    <mergeCell ref="B28:J28"/>
    <mergeCell ref="B25:J27"/>
    <mergeCell ref="B2:J2"/>
    <mergeCell ref="B3:J3"/>
    <mergeCell ref="B15:J18"/>
    <mergeCell ref="B8:J10"/>
    <mergeCell ref="B12:J13"/>
    <mergeCell ref="E5:J5"/>
  </mergeCells>
  <phoneticPr fontId="6" type="noConversion"/>
  <conditionalFormatting sqref="L11:L13">
    <cfRule type="expression" dxfId="9" priority="1" stopIfTrue="1">
      <formula>IF($AY$1=1,TRUE,FALSE)</formula>
    </cfRule>
  </conditionalFormatting>
  <hyperlinks>
    <hyperlink ref="L11:L12" location="Pacht!A1" display="Zu-/Verpachtung bzw. Zu-/Verkauf"/>
    <hyperlink ref="L9:L10" location="'Internetfenster 2'!F6" display="Vergleichsbetrieb à"/>
    <hyperlink ref="L7:L8" location="'Internetfenster 1'!A1" display="Ausgangsbetrieb à"/>
    <hyperlink ref="L20:L21" location="EHW!A1" display="Heranzuziehender Einheitswert à"/>
    <hyperlink ref="L17:L18" location="'Info &amp; Navigation'!A1" display="Einstiegsbildschirm à"/>
  </hyperlinks>
  <printOptions horizontalCentered="1"/>
  <pageMargins left="0.59055118110236227" right="0.59055118110236227" top="0.59055118110236227" bottom="0.59055118110236227" header="0.51181102362204722" footer="0.51181102362204722"/>
  <pageSetup paperSize="9" scale="81" orientation="landscape" r:id="rId1"/>
  <headerFooter alignWithMargins="0">
    <oddFooter>&amp;L&amp;8SVB-Beitragsberechnungsprogramm&amp;C&amp;8Bitte beachten: Die ermittelten Ergebnisse dienen lediglich der Information und sind unverbindlich!&amp;R&amp;8&amp;D</oddFooter>
  </headerFooter>
  <colBreaks count="1" manualBreakCount="1">
    <brk id="10"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M86"/>
  <sheetViews>
    <sheetView showGridLines="0" topLeftCell="A10" zoomScaleNormal="100" workbookViewId="0">
      <selection activeCell="B10" sqref="B10:J14"/>
    </sheetView>
  </sheetViews>
  <sheetFormatPr baseColWidth="10" defaultColWidth="11" defaultRowHeight="13.8" x14ac:dyDescent="0.25"/>
  <cols>
    <col min="1" max="1" width="11" style="134"/>
    <col min="2" max="2" width="2.59765625" style="134" customWidth="1"/>
    <col min="3" max="3" width="22.59765625" style="134" customWidth="1"/>
    <col min="4" max="4" width="19.59765625" style="134" customWidth="1"/>
    <col min="5" max="5" width="16.5" style="134" customWidth="1"/>
    <col min="6" max="6" width="21.5" style="134" customWidth="1"/>
    <col min="7" max="8" width="14.8984375" style="134" customWidth="1"/>
    <col min="9" max="9" width="13.19921875" style="134" customWidth="1"/>
    <col min="10" max="10" width="11.8984375" style="135" customWidth="1"/>
    <col min="11" max="11" width="4.09765625" style="134" customWidth="1"/>
    <col min="12" max="12" width="30.59765625" style="134" customWidth="1"/>
    <col min="13" max="13" width="11" style="134"/>
    <col min="14" max="16" width="13.69921875" style="134" customWidth="1"/>
    <col min="17" max="16384" width="11" style="134"/>
  </cols>
  <sheetData>
    <row r="1" spans="1:39" x14ac:dyDescent="0.25">
      <c r="A1" s="213"/>
      <c r="B1" s="213"/>
      <c r="C1" s="213"/>
      <c r="D1" s="213"/>
      <c r="E1" s="213"/>
      <c r="F1" s="213"/>
      <c r="G1" s="213"/>
      <c r="H1" s="213"/>
      <c r="I1" s="213"/>
      <c r="J1" s="214"/>
      <c r="K1" s="213"/>
      <c r="L1" s="213"/>
      <c r="M1" s="213"/>
      <c r="N1" s="213"/>
      <c r="O1" s="213"/>
      <c r="P1" s="213"/>
      <c r="Q1" s="218"/>
      <c r="R1" s="218"/>
      <c r="S1" s="218"/>
      <c r="T1" s="218"/>
      <c r="U1" s="218"/>
      <c r="V1" s="218"/>
      <c r="W1" s="218"/>
      <c r="X1" s="218"/>
      <c r="Y1" s="218"/>
      <c r="Z1" s="218"/>
      <c r="AA1" s="218"/>
      <c r="AB1" s="218"/>
      <c r="AC1" s="218"/>
      <c r="AD1" s="218"/>
      <c r="AE1" s="218"/>
      <c r="AF1" s="218"/>
      <c r="AG1" s="218"/>
      <c r="AH1" s="218"/>
      <c r="AI1" s="218"/>
      <c r="AJ1" s="218"/>
      <c r="AK1" s="218"/>
      <c r="AL1" s="218"/>
      <c r="AM1" s="218"/>
    </row>
    <row r="2" spans="1:39" s="136" customFormat="1" ht="21" x14ac:dyDescent="0.25">
      <c r="A2" s="215"/>
      <c r="B2" s="359" t="s">
        <v>230</v>
      </c>
      <c r="C2" s="359"/>
      <c r="D2" s="359"/>
      <c r="E2" s="359"/>
      <c r="F2" s="359"/>
      <c r="G2" s="359"/>
      <c r="H2" s="359"/>
      <c r="I2" s="359"/>
      <c r="J2" s="359"/>
      <c r="K2" s="215"/>
      <c r="L2" s="215"/>
      <c r="M2" s="215"/>
      <c r="N2" s="215"/>
      <c r="O2" s="215"/>
      <c r="P2" s="215"/>
      <c r="Q2" s="216"/>
      <c r="R2" s="216"/>
      <c r="S2" s="216"/>
      <c r="T2" s="216"/>
      <c r="U2" s="216"/>
      <c r="V2" s="216"/>
      <c r="W2" s="216"/>
      <c r="X2" s="216"/>
      <c r="Y2" s="216"/>
      <c r="Z2" s="216"/>
      <c r="AA2" s="216"/>
      <c r="AB2" s="216"/>
      <c r="AC2" s="216"/>
      <c r="AD2" s="216"/>
      <c r="AE2" s="216"/>
      <c r="AF2" s="216"/>
      <c r="AG2" s="216"/>
      <c r="AH2" s="216"/>
      <c r="AI2" s="216"/>
      <c r="AJ2" s="216"/>
      <c r="AK2" s="216"/>
      <c r="AL2" s="216"/>
      <c r="AM2" s="216"/>
    </row>
    <row r="3" spans="1:39" s="136" customFormat="1" ht="21" x14ac:dyDescent="0.25">
      <c r="A3" s="215"/>
      <c r="B3" s="359" t="s">
        <v>131</v>
      </c>
      <c r="C3" s="359"/>
      <c r="D3" s="359"/>
      <c r="E3" s="359"/>
      <c r="F3" s="359"/>
      <c r="G3" s="359"/>
      <c r="H3" s="359"/>
      <c r="I3" s="359"/>
      <c r="J3" s="359"/>
      <c r="K3" s="215"/>
      <c r="L3" s="215"/>
      <c r="M3" s="215"/>
      <c r="N3" s="215"/>
      <c r="O3" s="215"/>
      <c r="P3" s="215"/>
      <c r="Q3" s="216"/>
      <c r="R3" s="216"/>
      <c r="S3" s="216"/>
      <c r="T3" s="216"/>
      <c r="U3" s="216"/>
      <c r="V3" s="216"/>
      <c r="W3" s="216"/>
      <c r="X3" s="216"/>
      <c r="Y3" s="216"/>
      <c r="Z3" s="216"/>
      <c r="AA3" s="216"/>
      <c r="AB3" s="216"/>
      <c r="AC3" s="216"/>
      <c r="AD3" s="216"/>
      <c r="AE3" s="216"/>
      <c r="AF3" s="216"/>
      <c r="AG3" s="216"/>
      <c r="AH3" s="216"/>
      <c r="AI3" s="216"/>
      <c r="AJ3" s="216"/>
      <c r="AK3" s="216"/>
      <c r="AL3" s="216"/>
      <c r="AM3" s="216"/>
    </row>
    <row r="4" spans="1:39" s="136" customFormat="1" ht="6" customHeight="1" x14ac:dyDescent="0.25">
      <c r="A4" s="216"/>
      <c r="B4" s="216"/>
      <c r="C4" s="216"/>
      <c r="D4" s="216"/>
      <c r="E4" s="216"/>
      <c r="F4" s="216"/>
      <c r="G4" s="216"/>
      <c r="H4" s="216"/>
      <c r="I4" s="216"/>
      <c r="J4" s="216"/>
      <c r="K4" s="216"/>
      <c r="L4" s="216"/>
      <c r="M4" s="215"/>
      <c r="N4" s="215"/>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row>
    <row r="5" spans="1:39" s="136" customFormat="1" ht="21" x14ac:dyDescent="0.25">
      <c r="A5" s="216"/>
      <c r="B5" s="216"/>
      <c r="C5" s="216"/>
      <c r="D5" s="221"/>
      <c r="E5" s="221"/>
      <c r="F5" s="360" t="s">
        <v>221</v>
      </c>
      <c r="G5" s="360"/>
      <c r="H5" s="360"/>
      <c r="I5" s="360"/>
      <c r="J5" s="360"/>
      <c r="K5" s="216"/>
      <c r="L5" s="243" t="s">
        <v>261</v>
      </c>
      <c r="M5" s="215"/>
      <c r="N5" s="215"/>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row>
    <row r="6" spans="1:39" s="4" customFormat="1" ht="18" customHeight="1" x14ac:dyDescent="0.25">
      <c r="A6" s="222"/>
      <c r="B6" s="408" t="s">
        <v>367</v>
      </c>
      <c r="C6" s="361"/>
      <c r="D6" s="361"/>
      <c r="E6" s="361"/>
      <c r="F6" s="361"/>
      <c r="G6" s="361"/>
      <c r="H6" s="361"/>
      <c r="I6" s="361"/>
      <c r="J6" s="361"/>
      <c r="K6" s="222"/>
      <c r="L6" s="326" t="s">
        <v>247</v>
      </c>
      <c r="M6" s="215"/>
      <c r="N6" s="215"/>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row>
    <row r="7" spans="1:39" s="4" customFormat="1" ht="15" customHeight="1" x14ac:dyDescent="0.25">
      <c r="A7" s="222"/>
      <c r="B7" s="361"/>
      <c r="C7" s="361"/>
      <c r="D7" s="361"/>
      <c r="E7" s="361"/>
      <c r="F7" s="361"/>
      <c r="G7" s="361"/>
      <c r="H7" s="361"/>
      <c r="I7" s="361"/>
      <c r="J7" s="361"/>
      <c r="K7" s="222"/>
      <c r="L7" s="352" t="s">
        <v>296</v>
      </c>
      <c r="M7" s="215"/>
      <c r="N7" s="215"/>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row>
    <row r="8" spans="1:39" s="137" customFormat="1" ht="8.25" customHeight="1" x14ac:dyDescent="0.25">
      <c r="A8" s="217"/>
      <c r="B8" s="361"/>
      <c r="C8" s="361"/>
      <c r="D8" s="361"/>
      <c r="E8" s="361"/>
      <c r="F8" s="361"/>
      <c r="G8" s="361"/>
      <c r="H8" s="361"/>
      <c r="I8" s="361"/>
      <c r="J8" s="361"/>
      <c r="K8" s="217"/>
      <c r="L8" s="352"/>
      <c r="M8" s="215"/>
      <c r="N8" s="215"/>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row>
    <row r="9" spans="1:39" s="137" customFormat="1" ht="14.25" customHeight="1" x14ac:dyDescent="0.25">
      <c r="A9" s="217"/>
      <c r="B9" s="386"/>
      <c r="C9" s="386"/>
      <c r="D9" s="386"/>
      <c r="E9" s="386"/>
      <c r="F9" s="386"/>
      <c r="G9" s="386"/>
      <c r="H9" s="386"/>
      <c r="I9" s="386"/>
      <c r="J9" s="386"/>
      <c r="K9" s="217"/>
      <c r="L9" s="352" t="s">
        <v>297</v>
      </c>
      <c r="M9" s="215"/>
      <c r="N9" s="215"/>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row>
    <row r="10" spans="1:39" s="137" customFormat="1" ht="14.25" customHeight="1" x14ac:dyDescent="0.25">
      <c r="A10" s="217"/>
      <c r="B10" s="402" t="s">
        <v>222</v>
      </c>
      <c r="C10" s="384"/>
      <c r="D10" s="384"/>
      <c r="E10" s="384"/>
      <c r="F10" s="384"/>
      <c r="G10" s="384"/>
      <c r="H10" s="384"/>
      <c r="I10" s="384"/>
      <c r="J10" s="384"/>
      <c r="K10" s="217"/>
      <c r="L10" s="352"/>
      <c r="M10" s="215"/>
      <c r="N10" s="215"/>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row>
    <row r="11" spans="1:39" s="137" customFormat="1" ht="14.25" customHeight="1" x14ac:dyDescent="0.25">
      <c r="A11" s="217"/>
      <c r="B11" s="384"/>
      <c r="C11" s="384"/>
      <c r="D11" s="384"/>
      <c r="E11" s="384"/>
      <c r="F11" s="384"/>
      <c r="G11" s="384"/>
      <c r="H11" s="384"/>
      <c r="I11" s="384"/>
      <c r="J11" s="384"/>
      <c r="K11" s="217"/>
      <c r="L11" s="355" t="s">
        <v>292</v>
      </c>
      <c r="M11" s="215"/>
      <c r="N11" s="215"/>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row>
    <row r="12" spans="1:39" s="137" customFormat="1" ht="14.25" customHeight="1" x14ac:dyDescent="0.25">
      <c r="A12" s="217"/>
      <c r="B12" s="384"/>
      <c r="C12" s="384"/>
      <c r="D12" s="384"/>
      <c r="E12" s="384"/>
      <c r="F12" s="384"/>
      <c r="G12" s="384"/>
      <c r="H12" s="384"/>
      <c r="I12" s="384"/>
      <c r="J12" s="384"/>
      <c r="K12" s="217"/>
      <c r="L12" s="352"/>
      <c r="M12" s="215"/>
      <c r="N12" s="215"/>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row>
    <row r="13" spans="1:39" s="137" customFormat="1" ht="14.25" customHeight="1" x14ac:dyDescent="0.25">
      <c r="A13" s="217"/>
      <c r="B13" s="384"/>
      <c r="C13" s="384"/>
      <c r="D13" s="384"/>
      <c r="E13" s="384"/>
      <c r="F13" s="384"/>
      <c r="G13" s="384"/>
      <c r="H13" s="384"/>
      <c r="I13" s="384"/>
      <c r="J13" s="384"/>
      <c r="K13" s="217"/>
      <c r="L13" s="352"/>
      <c r="M13" s="215"/>
      <c r="N13" s="215"/>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row>
    <row r="14" spans="1:39" s="137" customFormat="1" ht="14.25" customHeight="1" x14ac:dyDescent="0.25">
      <c r="A14" s="217"/>
      <c r="B14" s="384"/>
      <c r="C14" s="384"/>
      <c r="D14" s="384"/>
      <c r="E14" s="384"/>
      <c r="F14" s="384"/>
      <c r="G14" s="384"/>
      <c r="H14" s="384"/>
      <c r="I14" s="384"/>
      <c r="J14" s="384"/>
      <c r="K14" s="217"/>
      <c r="L14" s="217"/>
      <c r="M14" s="215"/>
      <c r="N14" s="215"/>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s="137" customFormat="1" ht="14.25" customHeight="1" x14ac:dyDescent="0.25">
      <c r="A15" s="217"/>
      <c r="B15" s="407"/>
      <c r="C15" s="407"/>
      <c r="D15" s="407"/>
      <c r="E15" s="407"/>
      <c r="F15" s="407"/>
      <c r="G15" s="407"/>
      <c r="H15" s="407"/>
      <c r="I15" s="407"/>
      <c r="J15" s="407"/>
      <c r="K15" s="217"/>
      <c r="L15" s="243" t="s">
        <v>311</v>
      </c>
      <c r="M15" s="215"/>
      <c r="N15" s="215"/>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row>
    <row r="16" spans="1:39" s="137" customFormat="1" ht="14.25" customHeight="1" x14ac:dyDescent="0.25">
      <c r="A16" s="217"/>
      <c r="B16" s="398" t="s">
        <v>223</v>
      </c>
      <c r="C16" s="398"/>
      <c r="D16" s="398"/>
      <c r="E16" s="398"/>
      <c r="F16" s="398"/>
      <c r="G16" s="398"/>
      <c r="H16" s="398"/>
      <c r="I16" s="398"/>
      <c r="J16" s="398"/>
      <c r="K16" s="217"/>
      <c r="L16" s="243" t="s">
        <v>310</v>
      </c>
      <c r="M16" s="215"/>
      <c r="N16" s="215"/>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row>
    <row r="17" spans="1:39" s="137" customFormat="1" ht="14.25" customHeight="1" x14ac:dyDescent="0.25">
      <c r="A17" s="217"/>
      <c r="B17" s="398"/>
      <c r="C17" s="398"/>
      <c r="D17" s="398"/>
      <c r="E17" s="398"/>
      <c r="F17" s="398"/>
      <c r="G17" s="398"/>
      <c r="H17" s="398"/>
      <c r="I17" s="398"/>
      <c r="J17" s="398"/>
      <c r="K17" s="217"/>
      <c r="L17" s="352" t="s">
        <v>256</v>
      </c>
      <c r="M17" s="215"/>
      <c r="N17" s="215"/>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row>
    <row r="18" spans="1:39" s="137" customFormat="1" ht="14.25" customHeight="1" x14ac:dyDescent="0.25">
      <c r="A18" s="217"/>
      <c r="B18" s="398"/>
      <c r="C18" s="398"/>
      <c r="D18" s="398"/>
      <c r="E18" s="398"/>
      <c r="F18" s="398"/>
      <c r="G18" s="398"/>
      <c r="H18" s="398"/>
      <c r="I18" s="398"/>
      <c r="J18" s="398"/>
      <c r="K18" s="217"/>
      <c r="L18" s="352"/>
      <c r="M18" s="215"/>
      <c r="N18" s="215"/>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s="137" customFormat="1" ht="14.25" customHeight="1" x14ac:dyDescent="0.25">
      <c r="A19" s="217"/>
      <c r="B19" s="398"/>
      <c r="C19" s="398"/>
      <c r="D19" s="398"/>
      <c r="E19" s="398"/>
      <c r="F19" s="398"/>
      <c r="G19" s="398"/>
      <c r="H19" s="398"/>
      <c r="I19" s="398"/>
      <c r="J19" s="398"/>
      <c r="K19" s="217"/>
      <c r="L19" s="355" t="s">
        <v>295</v>
      </c>
      <c r="M19" s="215"/>
      <c r="N19" s="215"/>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row>
    <row r="20" spans="1:39" s="137" customFormat="1" ht="14.25" customHeight="1" x14ac:dyDescent="0.25">
      <c r="A20" s="217"/>
      <c r="B20" s="407"/>
      <c r="C20" s="407"/>
      <c r="D20" s="407"/>
      <c r="E20" s="407"/>
      <c r="F20" s="407"/>
      <c r="G20" s="407"/>
      <c r="H20" s="407"/>
      <c r="I20" s="407"/>
      <c r="J20" s="407"/>
      <c r="K20" s="217"/>
      <c r="L20" s="352"/>
      <c r="M20" s="215"/>
      <c r="N20" s="215"/>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s="137" customFormat="1" ht="14.25" customHeight="1" x14ac:dyDescent="0.25">
      <c r="A21" s="217"/>
      <c r="B21" s="398" t="s">
        <v>224</v>
      </c>
      <c r="C21" s="398"/>
      <c r="D21" s="398"/>
      <c r="E21" s="398"/>
      <c r="F21" s="398"/>
      <c r="G21" s="398"/>
      <c r="H21" s="398"/>
      <c r="I21" s="398"/>
      <c r="J21" s="398"/>
      <c r="K21" s="217"/>
      <c r="L21" s="352"/>
      <c r="M21" s="215"/>
      <c r="N21" s="215"/>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row>
    <row r="22" spans="1:39" s="137" customFormat="1" ht="14.25" customHeight="1" x14ac:dyDescent="0.25">
      <c r="A22" s="217"/>
      <c r="B22" s="398"/>
      <c r="C22" s="398"/>
      <c r="D22" s="398"/>
      <c r="E22" s="398"/>
      <c r="F22" s="398"/>
      <c r="G22" s="398"/>
      <c r="H22" s="398"/>
      <c r="I22" s="398"/>
      <c r="J22" s="398"/>
      <c r="K22" s="217"/>
      <c r="L22" s="301"/>
      <c r="M22" s="215"/>
      <c r="N22" s="215"/>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row>
    <row r="23" spans="1:39" s="137" customFormat="1" ht="14.25" customHeight="1" x14ac:dyDescent="0.25">
      <c r="A23" s="217"/>
      <c r="B23" s="384"/>
      <c r="C23" s="384"/>
      <c r="D23" s="384"/>
      <c r="E23" s="384"/>
      <c r="F23" s="384"/>
      <c r="G23" s="384"/>
      <c r="H23" s="384"/>
      <c r="I23" s="384"/>
      <c r="J23" s="384"/>
      <c r="K23" s="217"/>
      <c r="L23" s="310"/>
      <c r="M23" s="215"/>
      <c r="N23" s="215"/>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s="137" customFormat="1" ht="14.25" customHeight="1" x14ac:dyDescent="0.25">
      <c r="A24" s="217"/>
      <c r="B24" s="384" t="s">
        <v>225</v>
      </c>
      <c r="C24" s="384"/>
      <c r="D24" s="384"/>
      <c r="E24" s="384"/>
      <c r="F24" s="384"/>
      <c r="G24" s="384"/>
      <c r="H24" s="384"/>
      <c r="I24" s="384"/>
      <c r="J24" s="384"/>
      <c r="K24" s="217"/>
      <c r="L24" s="355"/>
      <c r="M24" s="215"/>
      <c r="N24" s="215"/>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row>
    <row r="25" spans="1:39" s="137" customFormat="1" ht="14.25" customHeight="1" x14ac:dyDescent="0.25">
      <c r="A25" s="217"/>
      <c r="B25" s="384"/>
      <c r="C25" s="384"/>
      <c r="D25" s="384"/>
      <c r="E25" s="384"/>
      <c r="F25" s="384"/>
      <c r="G25" s="384"/>
      <c r="H25" s="384"/>
      <c r="I25" s="384"/>
      <c r="J25" s="384"/>
      <c r="K25" s="217"/>
      <c r="L25" s="355"/>
      <c r="M25" s="215"/>
      <c r="N25" s="215"/>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row>
    <row r="26" spans="1:39" s="137" customFormat="1" ht="14.25" customHeight="1" x14ac:dyDescent="0.25">
      <c r="A26" s="217"/>
      <c r="B26" s="386"/>
      <c r="C26" s="386"/>
      <c r="D26" s="386"/>
      <c r="E26" s="386"/>
      <c r="F26" s="386"/>
      <c r="G26" s="386"/>
      <c r="H26" s="386"/>
      <c r="I26" s="386"/>
      <c r="J26" s="386"/>
      <c r="K26" s="217"/>
      <c r="L26" s="310"/>
      <c r="M26" s="215"/>
      <c r="N26" s="215"/>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row>
    <row r="27" spans="1:39" s="137" customFormat="1" ht="14.25" customHeight="1" x14ac:dyDescent="0.25">
      <c r="A27" s="217"/>
      <c r="B27" s="406" t="s">
        <v>239</v>
      </c>
      <c r="C27" s="406"/>
      <c r="D27" s="406"/>
      <c r="E27" s="406"/>
      <c r="F27" s="406"/>
      <c r="G27" s="406"/>
      <c r="H27" s="406"/>
      <c r="I27" s="406"/>
      <c r="J27" s="406"/>
      <c r="K27" s="217"/>
      <c r="L27" s="310"/>
      <c r="M27" s="215"/>
      <c r="N27" s="215"/>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row>
    <row r="28" spans="1:39" s="137" customFormat="1" ht="14.25" customHeight="1" x14ac:dyDescent="0.25">
      <c r="A28" s="217"/>
      <c r="B28" s="406"/>
      <c r="C28" s="406"/>
      <c r="D28" s="406"/>
      <c r="E28" s="406"/>
      <c r="F28" s="406"/>
      <c r="G28" s="406"/>
      <c r="H28" s="406"/>
      <c r="I28" s="406"/>
      <c r="J28" s="406"/>
      <c r="K28" s="217"/>
      <c r="L28" s="301"/>
      <c r="M28" s="215"/>
      <c r="N28" s="215"/>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row>
    <row r="29" spans="1:39" s="137" customFormat="1" ht="14.25" customHeight="1" x14ac:dyDescent="0.25">
      <c r="A29" s="217"/>
      <c r="B29" s="406"/>
      <c r="C29" s="406"/>
      <c r="D29" s="406"/>
      <c r="E29" s="406"/>
      <c r="F29" s="406"/>
      <c r="G29" s="406"/>
      <c r="H29" s="406"/>
      <c r="I29" s="406"/>
      <c r="J29" s="406"/>
      <c r="K29" s="217"/>
      <c r="L29" s="301"/>
      <c r="M29" s="215"/>
      <c r="N29" s="215"/>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row>
    <row r="30" spans="1:39" ht="14.25" customHeight="1" x14ac:dyDescent="0.25">
      <c r="A30" s="218"/>
      <c r="B30" s="406"/>
      <c r="C30" s="406"/>
      <c r="D30" s="406"/>
      <c r="E30" s="406"/>
      <c r="F30" s="406"/>
      <c r="G30" s="406"/>
      <c r="H30" s="406"/>
      <c r="I30" s="406"/>
      <c r="J30" s="406"/>
      <c r="K30" s="218"/>
      <c r="L30" s="301"/>
      <c r="M30" s="215"/>
      <c r="N30" s="215"/>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row>
    <row r="31" spans="1:39" ht="14.25" customHeight="1" x14ac:dyDescent="0.25">
      <c r="A31" s="218"/>
      <c r="B31" s="406"/>
      <c r="C31" s="406"/>
      <c r="D31" s="406"/>
      <c r="E31" s="406"/>
      <c r="F31" s="406"/>
      <c r="G31" s="406"/>
      <c r="H31" s="406"/>
      <c r="I31" s="406"/>
      <c r="J31" s="406"/>
      <c r="K31" s="218"/>
      <c r="L31" s="301"/>
      <c r="M31" s="215"/>
      <c r="N31" s="215"/>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row>
    <row r="32" spans="1:39" ht="14.25" customHeight="1" x14ac:dyDescent="0.25">
      <c r="A32" s="218"/>
      <c r="B32" s="406"/>
      <c r="C32" s="406"/>
      <c r="D32" s="406"/>
      <c r="E32" s="406"/>
      <c r="F32" s="406"/>
      <c r="G32" s="406"/>
      <c r="H32" s="406"/>
      <c r="I32" s="406"/>
      <c r="J32" s="406"/>
      <c r="K32" s="218"/>
      <c r="L32" s="301"/>
      <c r="M32" s="215"/>
      <c r="N32" s="215"/>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row>
    <row r="33" spans="1:39" ht="14.25" customHeight="1" x14ac:dyDescent="0.25">
      <c r="A33" s="218"/>
      <c r="B33" s="406"/>
      <c r="C33" s="406"/>
      <c r="D33" s="406"/>
      <c r="E33" s="406"/>
      <c r="F33" s="406"/>
      <c r="G33" s="406"/>
      <c r="H33" s="406"/>
      <c r="I33" s="406"/>
      <c r="J33" s="406"/>
      <c r="K33" s="218"/>
      <c r="L33" s="301"/>
      <c r="M33" s="215"/>
      <c r="N33" s="215"/>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row>
    <row r="34" spans="1:39" ht="14.25" customHeight="1" x14ac:dyDescent="0.25">
      <c r="A34" s="218"/>
      <c r="B34" s="240"/>
      <c r="C34" s="240"/>
      <c r="D34" s="240"/>
      <c r="E34" s="240"/>
      <c r="F34" s="240"/>
      <c r="G34" s="240"/>
      <c r="H34" s="240"/>
      <c r="I34" s="240"/>
      <c r="J34" s="240"/>
      <c r="K34" s="218"/>
      <c r="L34" s="217"/>
      <c r="M34" s="215"/>
      <c r="N34" s="215"/>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row>
    <row r="35" spans="1:39" ht="14.25" customHeight="1" x14ac:dyDescent="0.25">
      <c r="A35" s="218"/>
      <c r="B35" s="233"/>
      <c r="C35" s="233"/>
      <c r="D35" s="233"/>
      <c r="E35" s="233"/>
      <c r="F35" s="233"/>
      <c r="G35" s="233"/>
      <c r="H35" s="241"/>
      <c r="I35" s="241"/>
      <c r="J35" s="241"/>
      <c r="K35" s="218"/>
      <c r="L35" s="217"/>
      <c r="M35" s="215"/>
      <c r="N35" s="215"/>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row>
    <row r="36" spans="1:39" ht="14.25" customHeight="1" x14ac:dyDescent="0.3">
      <c r="A36" s="218"/>
      <c r="B36" s="235"/>
      <c r="C36" s="235"/>
      <c r="D36" s="235"/>
      <c r="E36" s="235"/>
      <c r="F36" s="235"/>
      <c r="G36" s="235"/>
      <c r="H36" s="235"/>
      <c r="I36" s="235"/>
      <c r="J36" s="235"/>
      <c r="K36" s="218"/>
      <c r="L36" s="217"/>
      <c r="M36" s="215"/>
      <c r="N36" s="215"/>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row>
    <row r="37" spans="1:39" ht="14.25" customHeight="1" x14ac:dyDescent="0.3">
      <c r="A37" s="218"/>
      <c r="B37" s="235"/>
      <c r="C37" s="235"/>
      <c r="D37" s="235"/>
      <c r="E37" s="235"/>
      <c r="F37" s="235"/>
      <c r="G37" s="235"/>
      <c r="H37" s="235"/>
      <c r="I37" s="235"/>
      <c r="J37" s="235"/>
      <c r="K37" s="218"/>
      <c r="L37" s="217"/>
      <c r="M37" s="215"/>
      <c r="N37" s="215"/>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row>
    <row r="38" spans="1:39" ht="45" customHeight="1" x14ac:dyDescent="0.25">
      <c r="A38" s="218"/>
      <c r="B38" s="218"/>
      <c r="C38" s="218"/>
      <c r="D38" s="218"/>
      <c r="E38" s="218"/>
      <c r="F38" s="218"/>
      <c r="G38" s="218"/>
      <c r="H38" s="218"/>
      <c r="I38" s="218"/>
      <c r="J38" s="220"/>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row>
    <row r="39" spans="1:39" ht="45" customHeight="1" x14ac:dyDescent="0.25">
      <c r="A39" s="218"/>
      <c r="B39" s="218"/>
      <c r="C39" s="218"/>
      <c r="D39" s="218"/>
      <c r="E39" s="218"/>
      <c r="F39" s="218"/>
      <c r="G39" s="218"/>
      <c r="H39" s="218"/>
      <c r="I39" s="218"/>
      <c r="J39" s="220"/>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row>
    <row r="40" spans="1:39" ht="45" customHeight="1" x14ac:dyDescent="0.25">
      <c r="A40" s="218"/>
      <c r="B40" s="218"/>
      <c r="C40" s="218"/>
      <c r="D40" s="218"/>
      <c r="E40" s="218"/>
      <c r="F40" s="218"/>
      <c r="G40" s="218"/>
      <c r="H40" s="218"/>
      <c r="I40" s="218"/>
      <c r="J40" s="220"/>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row>
    <row r="41" spans="1:39" ht="45" customHeight="1" x14ac:dyDescent="0.25">
      <c r="A41" s="218"/>
      <c r="B41" s="218"/>
      <c r="C41" s="218"/>
      <c r="D41" s="218"/>
      <c r="E41" s="218"/>
      <c r="F41" s="218"/>
      <c r="G41" s="218"/>
      <c r="H41" s="218"/>
      <c r="I41" s="218"/>
      <c r="J41" s="220"/>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row>
    <row r="42" spans="1:39" ht="45" customHeight="1" x14ac:dyDescent="0.25">
      <c r="A42" s="218"/>
      <c r="B42" s="218"/>
      <c r="C42" s="218"/>
      <c r="D42" s="218"/>
      <c r="E42" s="218"/>
      <c r="F42" s="218"/>
      <c r="G42" s="218"/>
      <c r="H42" s="218"/>
      <c r="I42" s="218"/>
      <c r="J42" s="220"/>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row>
    <row r="43" spans="1:39" ht="45" customHeight="1" x14ac:dyDescent="0.25">
      <c r="A43" s="218"/>
      <c r="B43" s="218"/>
      <c r="C43" s="218"/>
      <c r="D43" s="218"/>
      <c r="E43" s="218"/>
      <c r="F43" s="218"/>
      <c r="G43" s="218"/>
      <c r="H43" s="218"/>
      <c r="I43" s="218"/>
      <c r="J43" s="220"/>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row>
    <row r="44" spans="1:39" ht="45" customHeight="1" x14ac:dyDescent="0.25">
      <c r="A44" s="218"/>
      <c r="B44" s="218"/>
      <c r="C44" s="218"/>
      <c r="D44" s="218"/>
      <c r="E44" s="218"/>
      <c r="F44" s="218"/>
      <c r="G44" s="218"/>
      <c r="H44" s="218"/>
      <c r="I44" s="218"/>
      <c r="J44" s="220"/>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row>
    <row r="45" spans="1:39" ht="45" customHeight="1" x14ac:dyDescent="0.25">
      <c r="A45" s="218"/>
      <c r="B45" s="218"/>
      <c r="C45" s="218"/>
      <c r="D45" s="218"/>
      <c r="E45" s="218"/>
      <c r="F45" s="218"/>
      <c r="G45" s="218"/>
      <c r="H45" s="218"/>
      <c r="I45" s="218"/>
      <c r="J45" s="220"/>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row>
    <row r="46" spans="1:39" ht="45" customHeight="1" x14ac:dyDescent="0.25">
      <c r="A46" s="218"/>
      <c r="B46" s="218"/>
      <c r="C46" s="218"/>
      <c r="D46" s="218"/>
      <c r="E46" s="218"/>
      <c r="F46" s="218"/>
      <c r="G46" s="218"/>
      <c r="H46" s="218"/>
      <c r="I46" s="218"/>
      <c r="J46" s="220"/>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row>
    <row r="47" spans="1:39" ht="45" customHeight="1" x14ac:dyDescent="0.25">
      <c r="A47" s="218"/>
      <c r="B47" s="218"/>
      <c r="C47" s="218"/>
      <c r="D47" s="218"/>
      <c r="E47" s="218"/>
      <c r="F47" s="218"/>
      <c r="G47" s="218"/>
      <c r="H47" s="218"/>
      <c r="I47" s="218"/>
      <c r="J47" s="220"/>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row>
    <row r="48" spans="1:39" ht="45" customHeight="1" x14ac:dyDescent="0.25">
      <c r="A48" s="218"/>
      <c r="B48" s="218"/>
      <c r="C48" s="218"/>
      <c r="D48" s="218"/>
      <c r="E48" s="218"/>
      <c r="F48" s="218"/>
      <c r="G48" s="218"/>
      <c r="H48" s="218"/>
      <c r="I48" s="218"/>
      <c r="J48" s="220"/>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row>
    <row r="49" spans="1:39" ht="45" customHeight="1" x14ac:dyDescent="0.25">
      <c r="A49" s="218"/>
      <c r="B49" s="218"/>
      <c r="C49" s="218"/>
      <c r="D49" s="218"/>
      <c r="E49" s="218"/>
      <c r="F49" s="218"/>
      <c r="G49" s="218"/>
      <c r="H49" s="218"/>
      <c r="I49" s="218"/>
      <c r="J49" s="220"/>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row>
    <row r="50" spans="1:39" ht="45" customHeight="1" x14ac:dyDescent="0.25">
      <c r="A50" s="218"/>
      <c r="B50" s="218"/>
      <c r="C50" s="218"/>
      <c r="D50" s="218"/>
      <c r="E50" s="218"/>
      <c r="F50" s="218"/>
      <c r="G50" s="218"/>
      <c r="H50" s="218"/>
      <c r="I50" s="218"/>
      <c r="J50" s="220"/>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row>
    <row r="51" spans="1:39" ht="45" customHeight="1" x14ac:dyDescent="0.25">
      <c r="A51" s="218"/>
      <c r="B51" s="218"/>
      <c r="C51" s="218"/>
      <c r="D51" s="218"/>
      <c r="E51" s="218"/>
      <c r="F51" s="218"/>
      <c r="G51" s="218"/>
      <c r="H51" s="218"/>
      <c r="I51" s="218"/>
      <c r="J51" s="220"/>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row>
    <row r="52" spans="1:39" ht="45" customHeight="1" x14ac:dyDescent="0.25">
      <c r="A52" s="218"/>
      <c r="B52" s="218"/>
      <c r="C52" s="218"/>
      <c r="D52" s="218"/>
      <c r="E52" s="218"/>
      <c r="F52" s="218"/>
      <c r="G52" s="218"/>
      <c r="H52" s="218"/>
      <c r="I52" s="218"/>
      <c r="J52" s="220"/>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row>
    <row r="53" spans="1:39" ht="45" customHeight="1" x14ac:dyDescent="0.25">
      <c r="A53" s="218"/>
      <c r="B53" s="218"/>
      <c r="C53" s="218"/>
      <c r="D53" s="218"/>
      <c r="E53" s="218"/>
      <c r="F53" s="218"/>
      <c r="G53" s="218"/>
      <c r="H53" s="218"/>
      <c r="I53" s="218"/>
      <c r="J53" s="220"/>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row>
    <row r="54" spans="1:39" ht="45" customHeight="1" x14ac:dyDescent="0.25">
      <c r="A54" s="218"/>
      <c r="B54" s="218"/>
      <c r="C54" s="218"/>
      <c r="D54" s="218"/>
      <c r="E54" s="218"/>
      <c r="F54" s="218"/>
      <c r="G54" s="218"/>
      <c r="H54" s="218"/>
      <c r="I54" s="218"/>
      <c r="J54" s="220"/>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row>
    <row r="55" spans="1:39" ht="45" customHeight="1" x14ac:dyDescent="0.25">
      <c r="A55" s="218"/>
      <c r="B55" s="218"/>
      <c r="C55" s="218"/>
      <c r="D55" s="218"/>
      <c r="E55" s="218"/>
      <c r="F55" s="218"/>
      <c r="G55" s="218"/>
      <c r="H55" s="218"/>
      <c r="I55" s="218"/>
      <c r="J55" s="220"/>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row>
    <row r="56" spans="1:39" ht="45" customHeight="1" x14ac:dyDescent="0.25">
      <c r="A56" s="218"/>
      <c r="B56" s="218"/>
      <c r="C56" s="218"/>
      <c r="D56" s="218"/>
      <c r="E56" s="218"/>
      <c r="F56" s="218"/>
      <c r="G56" s="218"/>
      <c r="H56" s="218"/>
      <c r="I56" s="218"/>
      <c r="J56" s="220"/>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row>
    <row r="57" spans="1:39" ht="45" customHeight="1" x14ac:dyDescent="0.25">
      <c r="A57" s="218"/>
      <c r="B57" s="218"/>
      <c r="C57" s="218"/>
      <c r="D57" s="218"/>
      <c r="E57" s="218"/>
      <c r="F57" s="218"/>
      <c r="G57" s="218"/>
      <c r="H57" s="218"/>
      <c r="I57" s="218"/>
      <c r="J57" s="220"/>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row>
    <row r="58" spans="1:39" ht="45" customHeight="1" x14ac:dyDescent="0.25">
      <c r="A58" s="218"/>
      <c r="B58" s="218"/>
      <c r="C58" s="218"/>
      <c r="D58" s="218"/>
      <c r="E58" s="218"/>
      <c r="F58" s="218"/>
      <c r="G58" s="218"/>
      <c r="H58" s="218"/>
      <c r="I58" s="218"/>
      <c r="J58" s="220"/>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row>
    <row r="59" spans="1:39" ht="45" customHeight="1" x14ac:dyDescent="0.25">
      <c r="A59" s="218"/>
      <c r="B59" s="218"/>
      <c r="C59" s="218"/>
      <c r="D59" s="218"/>
      <c r="E59" s="218"/>
      <c r="F59" s="218"/>
      <c r="G59" s="218"/>
      <c r="H59" s="218"/>
      <c r="I59" s="218"/>
      <c r="J59" s="220"/>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row>
    <row r="60" spans="1:39" ht="45" customHeight="1" x14ac:dyDescent="0.25">
      <c r="A60" s="218"/>
      <c r="B60" s="218"/>
      <c r="C60" s="218"/>
      <c r="D60" s="218"/>
      <c r="E60" s="218"/>
      <c r="F60" s="218"/>
      <c r="G60" s="218"/>
      <c r="H60" s="218"/>
      <c r="I60" s="218"/>
      <c r="J60" s="220"/>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row>
    <row r="61" spans="1:39" ht="45" customHeight="1" x14ac:dyDescent="0.25">
      <c r="A61" s="218"/>
      <c r="B61" s="218"/>
      <c r="C61" s="218"/>
      <c r="D61" s="218"/>
      <c r="E61" s="218"/>
      <c r="F61" s="218"/>
      <c r="G61" s="218"/>
      <c r="H61" s="218"/>
      <c r="I61" s="218"/>
      <c r="J61" s="220"/>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row>
    <row r="62" spans="1:39" ht="45" customHeight="1" x14ac:dyDescent="0.25">
      <c r="A62" s="218"/>
      <c r="B62" s="218"/>
      <c r="C62" s="218"/>
      <c r="D62" s="218"/>
      <c r="E62" s="218"/>
      <c r="F62" s="218"/>
      <c r="G62" s="218"/>
      <c r="H62" s="218"/>
      <c r="I62" s="218"/>
      <c r="J62" s="220"/>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row>
    <row r="63" spans="1:39" ht="45" customHeight="1" x14ac:dyDescent="0.25">
      <c r="A63" s="218"/>
      <c r="B63" s="218"/>
      <c r="C63" s="218"/>
      <c r="D63" s="218"/>
      <c r="E63" s="218"/>
      <c r="F63" s="218"/>
      <c r="G63" s="218"/>
      <c r="H63" s="218"/>
      <c r="I63" s="218"/>
      <c r="J63" s="220"/>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row>
    <row r="64" spans="1:39" ht="45" customHeight="1" x14ac:dyDescent="0.25">
      <c r="A64" s="218"/>
      <c r="B64" s="218"/>
      <c r="C64" s="218"/>
      <c r="D64" s="218"/>
      <c r="E64" s="218"/>
      <c r="F64" s="218"/>
      <c r="G64" s="218"/>
      <c r="H64" s="218"/>
      <c r="I64" s="218"/>
      <c r="J64" s="220"/>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row>
    <row r="65" spans="1:39" ht="45" customHeight="1" x14ac:dyDescent="0.25">
      <c r="A65" s="218"/>
      <c r="B65" s="218"/>
      <c r="C65" s="218"/>
      <c r="D65" s="218"/>
      <c r="E65" s="218"/>
      <c r="F65" s="218"/>
      <c r="G65" s="218"/>
      <c r="H65" s="218"/>
      <c r="I65" s="218"/>
      <c r="J65" s="220"/>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row>
    <row r="66" spans="1:39" ht="45" customHeight="1" x14ac:dyDescent="0.25">
      <c r="A66" s="218"/>
      <c r="B66" s="218"/>
      <c r="C66" s="218"/>
      <c r="D66" s="218"/>
      <c r="E66" s="218"/>
      <c r="F66" s="218"/>
      <c r="G66" s="218"/>
      <c r="H66" s="218"/>
      <c r="I66" s="218"/>
      <c r="J66" s="220"/>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row>
    <row r="67" spans="1:39" ht="45" customHeight="1" x14ac:dyDescent="0.25">
      <c r="A67" s="218"/>
      <c r="B67" s="218"/>
      <c r="C67" s="218"/>
      <c r="D67" s="218"/>
      <c r="E67" s="218"/>
      <c r="F67" s="218"/>
      <c r="G67" s="218"/>
      <c r="H67" s="218"/>
      <c r="I67" s="218"/>
      <c r="J67" s="220"/>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row>
    <row r="68" spans="1:39" ht="45" customHeight="1" x14ac:dyDescent="0.25">
      <c r="A68" s="218"/>
      <c r="B68" s="218"/>
      <c r="C68" s="218"/>
      <c r="D68" s="218"/>
      <c r="E68" s="218"/>
      <c r="F68" s="218"/>
      <c r="G68" s="218"/>
      <c r="H68" s="218"/>
      <c r="I68" s="218"/>
      <c r="J68" s="220"/>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row>
    <row r="69" spans="1:39" ht="45" customHeight="1" x14ac:dyDescent="0.25">
      <c r="A69" s="218"/>
      <c r="B69" s="218"/>
      <c r="C69" s="218"/>
      <c r="D69" s="218"/>
      <c r="E69" s="218"/>
      <c r="F69" s="218"/>
      <c r="G69" s="218"/>
      <c r="H69" s="218"/>
      <c r="I69" s="218"/>
      <c r="J69" s="220"/>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row>
    <row r="70" spans="1:39" ht="45" customHeight="1" x14ac:dyDescent="0.25">
      <c r="A70" s="218"/>
      <c r="B70" s="218"/>
      <c r="C70" s="218"/>
      <c r="D70" s="218"/>
      <c r="E70" s="218"/>
      <c r="F70" s="218"/>
      <c r="G70" s="218"/>
      <c r="H70" s="218"/>
      <c r="I70" s="218"/>
      <c r="J70" s="220"/>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row>
    <row r="71" spans="1:39" ht="45" customHeight="1" x14ac:dyDescent="0.25">
      <c r="A71" s="218"/>
      <c r="B71" s="218"/>
      <c r="C71" s="218"/>
      <c r="D71" s="218"/>
      <c r="E71" s="218"/>
      <c r="F71" s="218"/>
      <c r="G71" s="218"/>
      <c r="H71" s="218"/>
      <c r="I71" s="218"/>
      <c r="J71" s="220"/>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row>
    <row r="72" spans="1:39" ht="45" customHeight="1" x14ac:dyDescent="0.25">
      <c r="A72" s="218"/>
      <c r="B72" s="218"/>
      <c r="C72" s="218"/>
      <c r="D72" s="218"/>
      <c r="E72" s="218"/>
      <c r="F72" s="218"/>
      <c r="G72" s="218"/>
      <c r="H72" s="218"/>
      <c r="I72" s="218"/>
      <c r="J72" s="220"/>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row>
    <row r="73" spans="1:39" ht="45" customHeight="1" x14ac:dyDescent="0.25">
      <c r="A73" s="218"/>
      <c r="B73" s="218"/>
      <c r="C73" s="218"/>
      <c r="D73" s="218"/>
      <c r="E73" s="218"/>
      <c r="F73" s="218"/>
      <c r="G73" s="218"/>
      <c r="H73" s="218"/>
      <c r="I73" s="218"/>
      <c r="J73" s="220"/>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row>
    <row r="74" spans="1:39" ht="45" customHeight="1" x14ac:dyDescent="0.25">
      <c r="A74" s="218"/>
      <c r="B74" s="218"/>
      <c r="C74" s="218"/>
      <c r="D74" s="218"/>
      <c r="E74" s="218"/>
      <c r="F74" s="218"/>
      <c r="G74" s="218"/>
      <c r="H74" s="218"/>
      <c r="I74" s="218"/>
      <c r="J74" s="220"/>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row>
    <row r="75" spans="1:39" ht="45" customHeight="1" x14ac:dyDescent="0.25"/>
    <row r="76" spans="1:39" ht="45" customHeight="1" x14ac:dyDescent="0.25"/>
    <row r="77" spans="1:39" ht="45" customHeight="1" x14ac:dyDescent="0.25"/>
    <row r="78" spans="1:39" ht="45" customHeight="1" x14ac:dyDescent="0.25"/>
    <row r="79" spans="1:39" ht="45" customHeight="1" x14ac:dyDescent="0.25"/>
    <row r="80" spans="1:39" ht="45" customHeight="1" x14ac:dyDescent="0.25"/>
    <row r="81" ht="45" customHeight="1" x14ac:dyDescent="0.25"/>
    <row r="82" ht="45" customHeight="1" x14ac:dyDescent="0.25"/>
    <row r="83" ht="45" customHeight="1" x14ac:dyDescent="0.25"/>
    <row r="84" ht="45" customHeight="1" x14ac:dyDescent="0.25"/>
    <row r="85" ht="45" customHeight="1" x14ac:dyDescent="0.25"/>
    <row r="86" ht="45" customHeight="1" x14ac:dyDescent="0.25"/>
  </sheetData>
  <mergeCells count="20">
    <mergeCell ref="L19:L21"/>
    <mergeCell ref="L24:L25"/>
    <mergeCell ref="L7:L8"/>
    <mergeCell ref="L9:L10"/>
    <mergeCell ref="L11:L13"/>
    <mergeCell ref="L17:L18"/>
    <mergeCell ref="B2:J2"/>
    <mergeCell ref="B3:J3"/>
    <mergeCell ref="F5:J5"/>
    <mergeCell ref="B9:J9"/>
    <mergeCell ref="B10:J14"/>
    <mergeCell ref="B26:J26"/>
    <mergeCell ref="B27:J33"/>
    <mergeCell ref="B15:J15"/>
    <mergeCell ref="B6:J8"/>
    <mergeCell ref="B20:J20"/>
    <mergeCell ref="B21:J22"/>
    <mergeCell ref="B23:J23"/>
    <mergeCell ref="B24:J25"/>
    <mergeCell ref="B16:J19"/>
  </mergeCells>
  <conditionalFormatting sqref="L11:L13">
    <cfRule type="expression" dxfId="8" priority="1" stopIfTrue="1">
      <formula>IF($AY$1=1,TRUE,FALSE)</formula>
    </cfRule>
  </conditionalFormatting>
  <hyperlinks>
    <hyperlink ref="L11:L12" location="Pacht!A1" display="Zu-/Verpachtung bzw. Zu-/Verkauf"/>
    <hyperlink ref="L7:L8" location="'Internetfenster 1'!A1" display="Ausgangsbetrieb à"/>
    <hyperlink ref="L9:L10" location="'Internetfenster 2'!F6" display="Vergleichsbetrieb à"/>
    <hyperlink ref="L17" location="'Beiträge aus EHW'!I5" display="Beiträge aus dem Einheitswert à"/>
    <hyperlink ref="L19:L20" location="Pacht!A1" display="Zu-/Verpachtung bzw. Zu-/Verkauf"/>
    <hyperlink ref="L19:L21" location="EHW!E5" display="EHW!E5"/>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K84"/>
  <sheetViews>
    <sheetView showGridLines="0" zoomScaleNormal="100" workbookViewId="0">
      <selection activeCell="O17" sqref="O17:O19"/>
    </sheetView>
  </sheetViews>
  <sheetFormatPr baseColWidth="10" defaultColWidth="11" defaultRowHeight="13.8" x14ac:dyDescent="0.25"/>
  <cols>
    <col min="1" max="1" width="11" style="134"/>
    <col min="2" max="2" width="10.59765625" style="134" customWidth="1"/>
    <col min="3" max="3" width="7.09765625" style="134" customWidth="1"/>
    <col min="4" max="5" width="17.19921875" style="134" customWidth="1"/>
    <col min="6" max="6" width="3.09765625" style="134" customWidth="1"/>
    <col min="7" max="7" width="14.5" style="134" customWidth="1"/>
    <col min="8" max="8" width="5.5" style="134" customWidth="1"/>
    <col min="9" max="9" width="5.69921875" style="134" customWidth="1"/>
    <col min="10" max="10" width="6.09765625" style="134" customWidth="1"/>
    <col min="11" max="12" width="17.19921875" style="134" customWidth="1"/>
    <col min="13" max="13" width="17.19921875" style="135" customWidth="1"/>
    <col min="14" max="14" width="4.09765625" style="134" customWidth="1"/>
    <col min="15" max="15" width="30.59765625" style="134" customWidth="1"/>
    <col min="16" max="16" width="11" style="134"/>
    <col min="17" max="19" width="13.69921875" style="134" customWidth="1"/>
    <col min="20" max="16384" width="11" style="134"/>
  </cols>
  <sheetData>
    <row r="1" spans="1:37" x14ac:dyDescent="0.25">
      <c r="A1" s="213"/>
      <c r="B1" s="213"/>
      <c r="C1" s="213"/>
      <c r="D1" s="213"/>
      <c r="E1" s="213"/>
      <c r="F1" s="213"/>
      <c r="G1" s="213"/>
      <c r="H1" s="213"/>
      <c r="I1" s="213"/>
      <c r="J1" s="213"/>
      <c r="K1" s="213"/>
      <c r="L1" s="213"/>
      <c r="M1" s="214"/>
      <c r="N1" s="228"/>
      <c r="O1" s="228"/>
      <c r="P1" s="228"/>
      <c r="Q1" s="228"/>
      <c r="R1" s="228"/>
      <c r="S1" s="228"/>
      <c r="T1" s="228"/>
      <c r="U1" s="228"/>
      <c r="V1" s="228"/>
      <c r="W1" s="228"/>
      <c r="X1" s="228"/>
      <c r="Y1" s="228"/>
      <c r="Z1" s="228"/>
      <c r="AA1" s="228"/>
      <c r="AB1" s="228"/>
      <c r="AC1" s="228"/>
      <c r="AD1" s="228"/>
      <c r="AE1" s="228"/>
      <c r="AF1" s="228"/>
      <c r="AG1" s="228"/>
      <c r="AH1" s="228"/>
      <c r="AI1" s="228"/>
      <c r="AJ1" s="228"/>
      <c r="AK1" s="228"/>
    </row>
    <row r="2" spans="1:37" s="136" customFormat="1" ht="21" x14ac:dyDescent="0.25">
      <c r="A2" s="215"/>
      <c r="B2" s="359" t="s">
        <v>231</v>
      </c>
      <c r="C2" s="359"/>
      <c r="D2" s="359"/>
      <c r="E2" s="359"/>
      <c r="F2" s="359"/>
      <c r="G2" s="359"/>
      <c r="H2" s="359"/>
      <c r="I2" s="359"/>
      <c r="J2" s="359"/>
      <c r="K2" s="359"/>
      <c r="L2" s="359"/>
      <c r="M2" s="359"/>
      <c r="N2" s="229"/>
      <c r="O2" s="229"/>
      <c r="P2" s="229"/>
      <c r="Q2" s="229"/>
      <c r="R2" s="229"/>
      <c r="S2" s="229"/>
      <c r="T2" s="229"/>
      <c r="U2" s="229"/>
      <c r="V2" s="229"/>
      <c r="W2" s="229"/>
      <c r="X2" s="229"/>
      <c r="Y2" s="229"/>
      <c r="Z2" s="229"/>
      <c r="AA2" s="229"/>
      <c r="AB2" s="229"/>
      <c r="AC2" s="229"/>
      <c r="AD2" s="229"/>
      <c r="AE2" s="229"/>
      <c r="AF2" s="229"/>
      <c r="AG2" s="229"/>
      <c r="AH2" s="229"/>
      <c r="AI2" s="229"/>
      <c r="AJ2" s="229"/>
      <c r="AK2" s="229"/>
    </row>
    <row r="3" spans="1:37" s="136" customFormat="1" ht="21" x14ac:dyDescent="0.25">
      <c r="A3" s="215"/>
      <c r="B3" s="359" t="s">
        <v>131</v>
      </c>
      <c r="C3" s="359"/>
      <c r="D3" s="359"/>
      <c r="E3" s="359"/>
      <c r="F3" s="359"/>
      <c r="G3" s="359"/>
      <c r="H3" s="359"/>
      <c r="I3" s="359"/>
      <c r="J3" s="359"/>
      <c r="K3" s="359"/>
      <c r="L3" s="359"/>
      <c r="M3" s="359"/>
      <c r="N3" s="229"/>
      <c r="O3" s="229"/>
      <c r="P3" s="229"/>
      <c r="Q3" s="229"/>
      <c r="R3" s="229"/>
      <c r="S3" s="229"/>
      <c r="T3" s="229"/>
      <c r="U3" s="229"/>
      <c r="V3" s="229"/>
      <c r="W3" s="229"/>
      <c r="X3" s="229"/>
      <c r="Y3" s="229"/>
      <c r="Z3" s="229"/>
      <c r="AA3" s="229"/>
      <c r="AB3" s="229"/>
      <c r="AC3" s="229"/>
      <c r="AD3" s="229"/>
      <c r="AE3" s="229"/>
      <c r="AF3" s="229"/>
      <c r="AG3" s="229"/>
      <c r="AH3" s="229"/>
      <c r="AI3" s="229"/>
      <c r="AJ3" s="229"/>
      <c r="AK3" s="229"/>
    </row>
    <row r="4" spans="1:37" s="136" customFormat="1" ht="6" customHeight="1" x14ac:dyDescent="0.25">
      <c r="A4" s="216"/>
      <c r="B4" s="216"/>
      <c r="C4" s="216"/>
      <c r="D4" s="216"/>
      <c r="E4" s="216"/>
      <c r="F4" s="216"/>
      <c r="G4" s="216"/>
      <c r="H4" s="216"/>
      <c r="I4" s="216"/>
      <c r="J4" s="216"/>
      <c r="K4" s="216"/>
      <c r="L4" s="216"/>
      <c r="M4" s="216"/>
      <c r="N4" s="229"/>
      <c r="O4" s="229"/>
      <c r="P4" s="229"/>
      <c r="Q4" s="229"/>
      <c r="R4" s="229"/>
      <c r="S4" s="229"/>
      <c r="T4" s="229"/>
      <c r="U4" s="229"/>
      <c r="V4" s="229"/>
      <c r="W4" s="229"/>
      <c r="X4" s="229"/>
      <c r="Y4" s="229"/>
      <c r="Z4" s="229"/>
      <c r="AA4" s="229"/>
      <c r="AB4" s="229"/>
      <c r="AC4" s="229"/>
      <c r="AD4" s="229"/>
      <c r="AE4" s="229"/>
      <c r="AF4" s="229"/>
      <c r="AG4" s="229"/>
      <c r="AH4" s="229"/>
      <c r="AI4" s="229"/>
      <c r="AJ4" s="229"/>
      <c r="AK4" s="229"/>
    </row>
    <row r="5" spans="1:37" s="136" customFormat="1" ht="21" x14ac:dyDescent="0.25">
      <c r="A5" s="216"/>
      <c r="B5" s="216"/>
      <c r="C5" s="216"/>
      <c r="D5" s="360" t="s">
        <v>148</v>
      </c>
      <c r="E5" s="360"/>
      <c r="F5" s="360"/>
      <c r="G5" s="360"/>
      <c r="H5" s="360"/>
      <c r="I5" s="360"/>
      <c r="J5" s="360"/>
      <c r="K5" s="360"/>
      <c r="L5" s="360"/>
      <c r="M5" s="360"/>
      <c r="N5" s="229"/>
      <c r="O5" s="332" t="s">
        <v>261</v>
      </c>
      <c r="P5" s="229"/>
      <c r="Q5" s="229"/>
      <c r="R5" s="229"/>
      <c r="S5" s="229"/>
      <c r="T5" s="229"/>
      <c r="U5" s="229"/>
      <c r="V5" s="229"/>
      <c r="W5" s="229"/>
      <c r="X5" s="229"/>
      <c r="Y5" s="229"/>
      <c r="Z5" s="229"/>
      <c r="AA5" s="229"/>
      <c r="AB5" s="229"/>
      <c r="AC5" s="229"/>
      <c r="AD5" s="229"/>
      <c r="AE5" s="229"/>
      <c r="AF5" s="229"/>
      <c r="AG5" s="229"/>
      <c r="AH5" s="229"/>
      <c r="AI5" s="229"/>
      <c r="AJ5" s="229"/>
      <c r="AK5" s="229"/>
    </row>
    <row r="6" spans="1:37" s="137" customFormat="1" ht="18" customHeight="1" x14ac:dyDescent="0.25">
      <c r="A6" s="217"/>
      <c r="B6" s="361" t="s">
        <v>229</v>
      </c>
      <c r="C6" s="361"/>
      <c r="D6" s="361"/>
      <c r="E6" s="361"/>
      <c r="F6" s="361"/>
      <c r="G6" s="361"/>
      <c r="H6" s="361"/>
      <c r="I6" s="361"/>
      <c r="J6" s="361"/>
      <c r="K6" s="361"/>
      <c r="L6" s="361"/>
      <c r="M6" s="361"/>
      <c r="N6" s="230"/>
      <c r="O6" s="326" t="s">
        <v>247</v>
      </c>
      <c r="P6" s="230"/>
      <c r="Q6" s="230"/>
      <c r="R6" s="230"/>
      <c r="S6" s="230"/>
      <c r="T6" s="230"/>
      <c r="U6" s="230"/>
      <c r="V6" s="230"/>
      <c r="W6" s="230"/>
      <c r="X6" s="230"/>
      <c r="Y6" s="230"/>
      <c r="Z6" s="230"/>
      <c r="AA6" s="230"/>
      <c r="AB6" s="230"/>
      <c r="AC6" s="230"/>
      <c r="AD6" s="230"/>
      <c r="AE6" s="230"/>
      <c r="AF6" s="230"/>
      <c r="AG6" s="230"/>
      <c r="AH6" s="230"/>
      <c r="AI6" s="230"/>
      <c r="AJ6" s="230"/>
      <c r="AK6" s="230"/>
    </row>
    <row r="7" spans="1:37" s="137" customFormat="1" ht="14.25" customHeight="1" x14ac:dyDescent="0.25">
      <c r="A7" s="217"/>
      <c r="B7" s="361"/>
      <c r="C7" s="361"/>
      <c r="D7" s="361"/>
      <c r="E7" s="361"/>
      <c r="F7" s="361"/>
      <c r="G7" s="361"/>
      <c r="H7" s="361"/>
      <c r="I7" s="361"/>
      <c r="J7" s="361"/>
      <c r="K7" s="361"/>
      <c r="L7" s="361"/>
      <c r="M7" s="361"/>
      <c r="N7" s="230"/>
      <c r="O7" s="352" t="s">
        <v>296</v>
      </c>
      <c r="P7" s="230"/>
      <c r="Q7" s="230"/>
      <c r="R7" s="230"/>
      <c r="S7" s="230"/>
      <c r="T7" s="230"/>
      <c r="U7" s="230"/>
      <c r="V7" s="230"/>
      <c r="W7" s="230"/>
      <c r="X7" s="230"/>
      <c r="Y7" s="230"/>
      <c r="Z7" s="230"/>
      <c r="AA7" s="230"/>
      <c r="AB7" s="230"/>
      <c r="AC7" s="230"/>
      <c r="AD7" s="230"/>
      <c r="AE7" s="230"/>
      <c r="AF7" s="230"/>
      <c r="AG7" s="230"/>
      <c r="AH7" s="230"/>
      <c r="AI7" s="230"/>
      <c r="AJ7" s="230"/>
      <c r="AK7" s="230"/>
    </row>
    <row r="8" spans="1:37" s="137" customFormat="1" ht="14.25" customHeight="1" x14ac:dyDescent="0.25">
      <c r="A8" s="217"/>
      <c r="B8" s="361"/>
      <c r="C8" s="361"/>
      <c r="D8" s="361"/>
      <c r="E8" s="361"/>
      <c r="F8" s="361"/>
      <c r="G8" s="361"/>
      <c r="H8" s="361"/>
      <c r="I8" s="361"/>
      <c r="J8" s="361"/>
      <c r="K8" s="361"/>
      <c r="L8" s="361"/>
      <c r="M8" s="361"/>
      <c r="N8" s="230"/>
      <c r="O8" s="352"/>
      <c r="P8" s="230"/>
      <c r="Q8" s="230"/>
      <c r="R8" s="230"/>
      <c r="S8" s="230"/>
      <c r="T8" s="230"/>
      <c r="U8" s="230"/>
      <c r="V8" s="230"/>
      <c r="W8" s="230"/>
      <c r="X8" s="230"/>
      <c r="Y8" s="230"/>
      <c r="Z8" s="230"/>
      <c r="AA8" s="230"/>
      <c r="AB8" s="230"/>
      <c r="AC8" s="230"/>
      <c r="AD8" s="230"/>
      <c r="AE8" s="230"/>
      <c r="AF8" s="230"/>
      <c r="AG8" s="230"/>
      <c r="AH8" s="230"/>
      <c r="AI8" s="230"/>
      <c r="AJ8" s="230"/>
      <c r="AK8" s="230"/>
    </row>
    <row r="9" spans="1:37" s="137" customFormat="1" ht="14.25" customHeight="1" x14ac:dyDescent="0.25">
      <c r="A9" s="217"/>
      <c r="B9" s="361"/>
      <c r="C9" s="361"/>
      <c r="D9" s="361"/>
      <c r="E9" s="361"/>
      <c r="F9" s="361"/>
      <c r="G9" s="361"/>
      <c r="H9" s="361"/>
      <c r="I9" s="361"/>
      <c r="J9" s="361"/>
      <c r="K9" s="361"/>
      <c r="L9" s="361"/>
      <c r="M9" s="361"/>
      <c r="N9" s="230"/>
      <c r="O9" s="352" t="s">
        <v>297</v>
      </c>
      <c r="P9" s="230"/>
      <c r="Q9" s="230"/>
      <c r="R9" s="230"/>
      <c r="S9" s="230"/>
      <c r="T9" s="230"/>
      <c r="U9" s="230"/>
      <c r="V9" s="230"/>
      <c r="W9" s="230"/>
      <c r="X9" s="230"/>
      <c r="Y9" s="230"/>
      <c r="Z9" s="230"/>
      <c r="AA9" s="230"/>
      <c r="AB9" s="230"/>
      <c r="AC9" s="230"/>
      <c r="AD9" s="230"/>
      <c r="AE9" s="230"/>
      <c r="AF9" s="230"/>
      <c r="AG9" s="230"/>
      <c r="AH9" s="230"/>
      <c r="AI9" s="230"/>
      <c r="AJ9" s="230"/>
      <c r="AK9" s="230"/>
    </row>
    <row r="10" spans="1:37" s="137" customFormat="1" ht="14.25" customHeight="1" x14ac:dyDescent="0.25">
      <c r="A10" s="217"/>
      <c r="B10" s="361"/>
      <c r="C10" s="361"/>
      <c r="D10" s="361"/>
      <c r="E10" s="361"/>
      <c r="F10" s="361"/>
      <c r="G10" s="361"/>
      <c r="H10" s="361"/>
      <c r="I10" s="361"/>
      <c r="J10" s="361"/>
      <c r="K10" s="361"/>
      <c r="L10" s="361"/>
      <c r="M10" s="361"/>
      <c r="N10" s="230"/>
      <c r="O10" s="352"/>
      <c r="P10" s="230"/>
      <c r="Q10" s="230"/>
      <c r="R10" s="230"/>
      <c r="S10" s="230"/>
      <c r="T10" s="230"/>
      <c r="U10" s="230"/>
      <c r="V10" s="230"/>
      <c r="W10" s="230"/>
      <c r="X10" s="230"/>
      <c r="Y10" s="230"/>
      <c r="Z10" s="230"/>
      <c r="AA10" s="230"/>
      <c r="AB10" s="230"/>
      <c r="AC10" s="230"/>
      <c r="AD10" s="230"/>
      <c r="AE10" s="230"/>
      <c r="AF10" s="230"/>
      <c r="AG10" s="230"/>
      <c r="AH10" s="230"/>
      <c r="AI10" s="230"/>
      <c r="AJ10" s="230"/>
      <c r="AK10" s="230"/>
    </row>
    <row r="11" spans="1:37" s="137" customFormat="1" ht="14.25" customHeight="1" x14ac:dyDescent="0.25">
      <c r="A11" s="217"/>
      <c r="B11" s="361"/>
      <c r="C11" s="361"/>
      <c r="D11" s="361"/>
      <c r="E11" s="361"/>
      <c r="F11" s="361"/>
      <c r="G11" s="361"/>
      <c r="H11" s="361"/>
      <c r="I11" s="361"/>
      <c r="J11" s="361"/>
      <c r="K11" s="361"/>
      <c r="L11" s="361"/>
      <c r="M11" s="361"/>
      <c r="N11" s="230"/>
      <c r="O11" s="355" t="s">
        <v>287</v>
      </c>
      <c r="P11" s="230"/>
      <c r="Q11" s="230"/>
      <c r="R11" s="230"/>
      <c r="S11" s="230"/>
      <c r="T11" s="230"/>
      <c r="U11" s="230"/>
      <c r="V11" s="230"/>
      <c r="W11" s="230"/>
      <c r="X11" s="230"/>
      <c r="Y11" s="230"/>
      <c r="Z11" s="230"/>
      <c r="AA11" s="230"/>
      <c r="AB11" s="230"/>
      <c r="AC11" s="230"/>
      <c r="AD11" s="230"/>
      <c r="AE11" s="230"/>
      <c r="AF11" s="230"/>
      <c r="AG11" s="230"/>
      <c r="AH11" s="230"/>
      <c r="AI11" s="230"/>
      <c r="AJ11" s="230"/>
      <c r="AK11" s="230"/>
    </row>
    <row r="12" spans="1:37" s="137" customFormat="1" ht="14.25" customHeight="1" x14ac:dyDescent="0.25">
      <c r="A12" s="217"/>
      <c r="B12" s="361"/>
      <c r="C12" s="361"/>
      <c r="D12" s="361"/>
      <c r="E12" s="361"/>
      <c r="F12" s="361"/>
      <c r="G12" s="361"/>
      <c r="H12" s="361"/>
      <c r="I12" s="361"/>
      <c r="J12" s="361"/>
      <c r="K12" s="361"/>
      <c r="L12" s="361"/>
      <c r="M12" s="361"/>
      <c r="N12" s="230"/>
      <c r="O12" s="352"/>
      <c r="P12" s="230"/>
      <c r="Q12" s="230"/>
      <c r="R12" s="230"/>
      <c r="S12" s="230"/>
      <c r="T12" s="230"/>
      <c r="U12" s="230"/>
      <c r="V12" s="230"/>
      <c r="W12" s="230"/>
      <c r="X12" s="230"/>
      <c r="Y12" s="230"/>
      <c r="Z12" s="230"/>
      <c r="AA12" s="230"/>
      <c r="AB12" s="230"/>
      <c r="AC12" s="230"/>
      <c r="AD12" s="230"/>
      <c r="AE12" s="230"/>
      <c r="AF12" s="230"/>
      <c r="AG12" s="230"/>
      <c r="AH12" s="230"/>
      <c r="AI12" s="230"/>
      <c r="AJ12" s="230"/>
      <c r="AK12" s="230"/>
    </row>
    <row r="13" spans="1:37" s="137" customFormat="1" ht="8.25" customHeight="1" x14ac:dyDescent="0.25">
      <c r="A13" s="217"/>
      <c r="B13" s="148"/>
      <c r="C13" s="148"/>
      <c r="D13" s="148"/>
      <c r="E13" s="148"/>
      <c r="F13" s="148"/>
      <c r="G13" s="148"/>
      <c r="H13" s="148"/>
      <c r="I13" s="148"/>
      <c r="J13" s="148"/>
      <c r="K13" s="148"/>
      <c r="L13" s="148"/>
      <c r="M13" s="148"/>
      <c r="N13" s="230"/>
      <c r="O13" s="352"/>
      <c r="P13" s="230"/>
      <c r="Q13" s="230"/>
      <c r="R13" s="230"/>
      <c r="S13" s="230"/>
      <c r="T13" s="230"/>
      <c r="U13" s="230"/>
      <c r="V13" s="230"/>
      <c r="W13" s="230"/>
      <c r="X13" s="230"/>
      <c r="Y13" s="230"/>
      <c r="Z13" s="230"/>
      <c r="AA13" s="230"/>
      <c r="AB13" s="230"/>
      <c r="AC13" s="230"/>
      <c r="AD13" s="230"/>
      <c r="AE13" s="230"/>
      <c r="AF13" s="230"/>
      <c r="AG13" s="230"/>
      <c r="AH13" s="230"/>
      <c r="AI13" s="230"/>
      <c r="AJ13" s="230"/>
      <c r="AK13" s="230"/>
    </row>
    <row r="14" spans="1:37" s="137" customFormat="1" ht="14.25" customHeight="1" x14ac:dyDescent="0.25">
      <c r="A14" s="217"/>
      <c r="B14" s="384" t="s">
        <v>155</v>
      </c>
      <c r="C14" s="384"/>
      <c r="D14" s="384"/>
      <c r="E14" s="384"/>
      <c r="F14" s="384"/>
      <c r="G14" s="384"/>
      <c r="H14" s="384"/>
      <c r="I14" s="384"/>
      <c r="J14" s="384"/>
      <c r="K14" s="384"/>
      <c r="L14" s="384"/>
      <c r="M14" s="384"/>
      <c r="N14" s="230"/>
      <c r="O14" s="217"/>
      <c r="P14" s="230"/>
      <c r="Q14" s="230"/>
      <c r="R14" s="230"/>
      <c r="S14" s="230"/>
      <c r="T14" s="230"/>
      <c r="U14" s="230"/>
      <c r="V14" s="230"/>
      <c r="W14" s="230"/>
      <c r="X14" s="230"/>
      <c r="Y14" s="230"/>
      <c r="Z14" s="230"/>
      <c r="AA14" s="230"/>
      <c r="AB14" s="230"/>
      <c r="AC14" s="230"/>
      <c r="AD14" s="230"/>
      <c r="AE14" s="230"/>
      <c r="AF14" s="230"/>
      <c r="AG14" s="230"/>
      <c r="AH14" s="230"/>
      <c r="AI14" s="230"/>
      <c r="AJ14" s="230"/>
      <c r="AK14" s="230"/>
    </row>
    <row r="15" spans="1:37" s="137" customFormat="1" ht="14.25" customHeight="1" x14ac:dyDescent="0.25">
      <c r="A15" s="217"/>
      <c r="B15" s="384"/>
      <c r="C15" s="384"/>
      <c r="D15" s="384"/>
      <c r="E15" s="384"/>
      <c r="F15" s="384"/>
      <c r="G15" s="384"/>
      <c r="H15" s="384"/>
      <c r="I15" s="384"/>
      <c r="J15" s="384"/>
      <c r="K15" s="384"/>
      <c r="L15" s="384"/>
      <c r="M15" s="384"/>
      <c r="N15" s="230"/>
      <c r="O15" s="243" t="s">
        <v>311</v>
      </c>
      <c r="P15" s="230"/>
      <c r="Q15" s="230"/>
      <c r="R15" s="230"/>
      <c r="S15" s="230"/>
      <c r="T15" s="230"/>
      <c r="U15" s="230"/>
      <c r="V15" s="230"/>
      <c r="W15" s="230"/>
      <c r="X15" s="230"/>
      <c r="Y15" s="230"/>
      <c r="Z15" s="230"/>
      <c r="AA15" s="230"/>
      <c r="AB15" s="230"/>
      <c r="AC15" s="230"/>
      <c r="AD15" s="230"/>
      <c r="AE15" s="230"/>
      <c r="AF15" s="230"/>
      <c r="AG15" s="230"/>
      <c r="AH15" s="230"/>
      <c r="AI15" s="230"/>
      <c r="AJ15" s="230"/>
      <c r="AK15" s="230"/>
    </row>
    <row r="16" spans="1:37" s="137" customFormat="1" ht="14.25" customHeight="1" x14ac:dyDescent="0.25">
      <c r="A16" s="217"/>
      <c r="B16" s="384"/>
      <c r="C16" s="384"/>
      <c r="D16" s="384"/>
      <c r="E16" s="384"/>
      <c r="F16" s="384"/>
      <c r="G16" s="384"/>
      <c r="H16" s="384"/>
      <c r="I16" s="384"/>
      <c r="J16" s="384"/>
      <c r="K16" s="384"/>
      <c r="L16" s="384"/>
      <c r="M16" s="384"/>
      <c r="N16" s="230"/>
      <c r="O16" s="243" t="s">
        <v>310</v>
      </c>
      <c r="P16" s="230"/>
      <c r="Q16" s="230"/>
      <c r="R16" s="230"/>
      <c r="S16" s="230"/>
      <c r="T16" s="230"/>
      <c r="U16" s="230"/>
      <c r="V16" s="230"/>
      <c r="W16" s="230"/>
      <c r="X16" s="230"/>
      <c r="Y16" s="230"/>
      <c r="Z16" s="230"/>
      <c r="AA16" s="230"/>
      <c r="AB16" s="230"/>
      <c r="AC16" s="230"/>
      <c r="AD16" s="230"/>
      <c r="AE16" s="230"/>
      <c r="AF16" s="230"/>
      <c r="AG16" s="230"/>
      <c r="AH16" s="230"/>
      <c r="AI16" s="230"/>
      <c r="AJ16" s="230"/>
      <c r="AK16" s="230"/>
    </row>
    <row r="17" spans="1:37" s="137" customFormat="1" ht="8.25" customHeight="1" x14ac:dyDescent="0.25">
      <c r="A17" s="217"/>
      <c r="B17" s="150"/>
      <c r="C17" s="150"/>
      <c r="D17" s="150"/>
      <c r="E17" s="151"/>
      <c r="F17" s="151"/>
      <c r="G17" s="138"/>
      <c r="H17" s="138"/>
      <c r="I17" s="138"/>
      <c r="J17" s="138"/>
      <c r="K17" s="138"/>
      <c r="L17" s="138"/>
      <c r="M17" s="138"/>
      <c r="N17" s="230"/>
      <c r="O17" s="352" t="s">
        <v>256</v>
      </c>
      <c r="P17" s="230"/>
      <c r="Q17" s="230"/>
      <c r="R17" s="230"/>
      <c r="S17" s="230"/>
      <c r="T17" s="230"/>
      <c r="U17" s="230"/>
      <c r="V17" s="230"/>
      <c r="W17" s="230"/>
      <c r="X17" s="230"/>
      <c r="Y17" s="230"/>
      <c r="Z17" s="230"/>
      <c r="AA17" s="230"/>
      <c r="AB17" s="230"/>
      <c r="AC17" s="230"/>
      <c r="AD17" s="230"/>
      <c r="AE17" s="230"/>
      <c r="AF17" s="230"/>
      <c r="AG17" s="230"/>
      <c r="AH17" s="230"/>
      <c r="AI17" s="230"/>
      <c r="AJ17" s="230"/>
      <c r="AK17" s="230"/>
    </row>
    <row r="18" spans="1:37" s="137" customFormat="1" ht="14.25" customHeight="1" x14ac:dyDescent="0.25">
      <c r="A18" s="217"/>
      <c r="B18" s="155" t="s">
        <v>156</v>
      </c>
      <c r="C18" s="410" t="s">
        <v>157</v>
      </c>
      <c r="D18" s="411"/>
      <c r="E18" s="420" t="s">
        <v>159</v>
      </c>
      <c r="F18" s="410" t="s">
        <v>44</v>
      </c>
      <c r="G18" s="411"/>
      <c r="H18" s="410" t="s">
        <v>163</v>
      </c>
      <c r="I18" s="416"/>
      <c r="J18" s="411"/>
      <c r="K18" s="226" t="s">
        <v>160</v>
      </c>
      <c r="L18" s="410" t="s">
        <v>138</v>
      </c>
      <c r="M18" s="411"/>
      <c r="N18" s="230"/>
      <c r="O18" s="352"/>
      <c r="P18" s="230"/>
      <c r="Q18" s="230"/>
      <c r="R18" s="230"/>
      <c r="S18" s="230"/>
      <c r="T18" s="230"/>
      <c r="U18" s="230"/>
      <c r="V18" s="230"/>
      <c r="W18" s="230"/>
      <c r="X18" s="230"/>
      <c r="Y18" s="230"/>
      <c r="Z18" s="230"/>
      <c r="AA18" s="230"/>
      <c r="AB18" s="230"/>
      <c r="AC18" s="230"/>
      <c r="AD18" s="230"/>
      <c r="AE18" s="230"/>
      <c r="AF18" s="230"/>
      <c r="AG18" s="230"/>
      <c r="AH18" s="230"/>
      <c r="AI18" s="230"/>
      <c r="AJ18" s="230"/>
      <c r="AK18" s="230"/>
    </row>
    <row r="19" spans="1:37" s="137" customFormat="1" ht="14.25" customHeight="1" x14ac:dyDescent="0.25">
      <c r="A19" s="217"/>
      <c r="B19" s="155"/>
      <c r="C19" s="412"/>
      <c r="D19" s="413"/>
      <c r="E19" s="420"/>
      <c r="F19" s="412"/>
      <c r="G19" s="413"/>
      <c r="H19" s="412" t="s">
        <v>164</v>
      </c>
      <c r="I19" s="417"/>
      <c r="J19" s="413"/>
      <c r="K19" s="227" t="s">
        <v>161</v>
      </c>
      <c r="L19" s="227" t="s">
        <v>21</v>
      </c>
      <c r="M19" s="227" t="s">
        <v>20</v>
      </c>
      <c r="N19" s="230"/>
      <c r="O19" s="352"/>
      <c r="P19" s="230"/>
      <c r="Q19" s="230"/>
      <c r="R19" s="230"/>
      <c r="S19" s="230"/>
      <c r="T19" s="230"/>
      <c r="U19" s="230"/>
      <c r="V19" s="230"/>
      <c r="W19" s="230"/>
      <c r="X19" s="230"/>
      <c r="Y19" s="230"/>
      <c r="Z19" s="230"/>
      <c r="AA19" s="230"/>
      <c r="AB19" s="230"/>
      <c r="AC19" s="230"/>
      <c r="AD19" s="230"/>
      <c r="AE19" s="230"/>
      <c r="AF19" s="230"/>
      <c r="AG19" s="230"/>
      <c r="AH19" s="230"/>
      <c r="AI19" s="230"/>
      <c r="AJ19" s="230"/>
      <c r="AK19" s="230"/>
    </row>
    <row r="20" spans="1:37" s="137" customFormat="1" ht="14.25" customHeight="1" x14ac:dyDescent="0.25">
      <c r="A20" s="217"/>
      <c r="B20" s="154"/>
      <c r="C20" s="409" t="s">
        <v>158</v>
      </c>
      <c r="D20" s="409"/>
      <c r="E20" s="162">
        <v>10000</v>
      </c>
      <c r="F20" s="414" t="s">
        <v>88</v>
      </c>
      <c r="G20" s="414"/>
      <c r="H20" s="418">
        <f>E20</f>
        <v>10000</v>
      </c>
      <c r="I20" s="418"/>
      <c r="J20" s="418"/>
      <c r="K20" s="162">
        <f>-H20*0.7</f>
        <v>-7000</v>
      </c>
      <c r="L20" s="162">
        <f>H20+K20</f>
        <v>3000</v>
      </c>
      <c r="M20" s="162">
        <f>L20/12</f>
        <v>250</v>
      </c>
      <c r="N20" s="230"/>
      <c r="O20" s="217"/>
      <c r="P20" s="230"/>
      <c r="Q20" s="230"/>
      <c r="R20" s="230"/>
      <c r="S20" s="230"/>
      <c r="T20" s="230"/>
      <c r="U20" s="230"/>
      <c r="V20" s="230"/>
      <c r="W20" s="230"/>
      <c r="X20" s="230"/>
      <c r="Y20" s="230"/>
      <c r="Z20" s="230"/>
      <c r="AA20" s="230"/>
      <c r="AB20" s="230"/>
      <c r="AC20" s="230"/>
      <c r="AD20" s="230"/>
      <c r="AE20" s="230"/>
      <c r="AF20" s="230"/>
      <c r="AG20" s="230"/>
      <c r="AH20" s="230"/>
      <c r="AI20" s="230"/>
      <c r="AJ20" s="230"/>
      <c r="AK20" s="230"/>
    </row>
    <row r="21" spans="1:37" s="137" customFormat="1" ht="14.25" customHeight="1" x14ac:dyDescent="0.25">
      <c r="A21" s="217"/>
      <c r="B21" s="156"/>
      <c r="C21" s="156"/>
      <c r="D21" s="161"/>
      <c r="E21" s="162"/>
      <c r="F21" s="162"/>
      <c r="G21" s="162"/>
      <c r="H21" s="162"/>
      <c r="I21" s="162"/>
      <c r="J21" s="162"/>
      <c r="K21" s="162"/>
      <c r="L21" s="162"/>
      <c r="M21" s="162"/>
      <c r="N21" s="230"/>
      <c r="O21" s="217"/>
      <c r="P21" s="230"/>
      <c r="Q21" s="230"/>
      <c r="R21" s="230"/>
      <c r="S21" s="230"/>
      <c r="T21" s="230"/>
      <c r="U21" s="230"/>
      <c r="V21" s="230"/>
      <c r="W21" s="230"/>
      <c r="X21" s="230"/>
      <c r="Y21" s="230"/>
      <c r="Z21" s="230"/>
      <c r="AA21" s="230"/>
      <c r="AB21" s="230"/>
      <c r="AC21" s="230"/>
      <c r="AD21" s="230"/>
      <c r="AE21" s="230"/>
      <c r="AF21" s="230"/>
      <c r="AG21" s="230"/>
      <c r="AH21" s="230"/>
      <c r="AI21" s="230"/>
      <c r="AJ21" s="230"/>
      <c r="AK21" s="230"/>
    </row>
    <row r="22" spans="1:37" s="137" customFormat="1" ht="14.25" customHeight="1" x14ac:dyDescent="0.25">
      <c r="A22" s="217"/>
      <c r="B22" s="154"/>
      <c r="C22" s="409" t="s">
        <v>162</v>
      </c>
      <c r="D22" s="409"/>
      <c r="E22" s="162">
        <v>10000</v>
      </c>
      <c r="F22" s="415">
        <v>-3700</v>
      </c>
      <c r="G22" s="415"/>
      <c r="H22" s="415">
        <f>E22+F22</f>
        <v>6300</v>
      </c>
      <c r="I22" s="415"/>
      <c r="J22" s="415"/>
      <c r="K22" s="162">
        <f>-H22*0.7</f>
        <v>-4410</v>
      </c>
      <c r="L22" s="162">
        <f>H22+K22</f>
        <v>1890</v>
      </c>
      <c r="M22" s="162">
        <f>L22/12</f>
        <v>157.5</v>
      </c>
      <c r="N22" s="230"/>
      <c r="O22" s="243" t="s">
        <v>261</v>
      </c>
      <c r="P22" s="230"/>
      <c r="Q22" s="230"/>
      <c r="R22" s="230"/>
      <c r="S22" s="230"/>
      <c r="T22" s="230"/>
      <c r="U22" s="230"/>
      <c r="V22" s="230"/>
      <c r="W22" s="230"/>
      <c r="X22" s="230"/>
      <c r="Y22" s="230"/>
      <c r="Z22" s="230"/>
      <c r="AA22" s="230"/>
      <c r="AB22" s="230"/>
      <c r="AC22" s="230"/>
      <c r="AD22" s="230"/>
      <c r="AE22" s="230"/>
      <c r="AF22" s="230"/>
      <c r="AG22" s="230"/>
      <c r="AH22" s="230"/>
      <c r="AI22" s="230"/>
      <c r="AJ22" s="230"/>
      <c r="AK22" s="230"/>
    </row>
    <row r="23" spans="1:37" s="137" customFormat="1" ht="14.25" customHeight="1" x14ac:dyDescent="0.25">
      <c r="A23" s="217"/>
      <c r="B23" s="138"/>
      <c r="C23" s="384" t="s">
        <v>165</v>
      </c>
      <c r="D23" s="384"/>
      <c r="E23" s="164">
        <v>2000</v>
      </c>
      <c r="F23" s="162"/>
      <c r="G23" s="162"/>
      <c r="H23" s="162"/>
      <c r="I23" s="162"/>
      <c r="J23" s="162"/>
      <c r="K23" s="162"/>
      <c r="L23" s="162"/>
      <c r="M23" s="162"/>
      <c r="N23" s="230"/>
      <c r="O23" s="243" t="s">
        <v>309</v>
      </c>
      <c r="P23" s="230"/>
      <c r="Q23" s="230"/>
      <c r="R23" s="230"/>
      <c r="S23" s="230"/>
      <c r="T23" s="230"/>
      <c r="U23" s="230"/>
      <c r="V23" s="230"/>
      <c r="W23" s="230"/>
      <c r="X23" s="230"/>
      <c r="Y23" s="230"/>
      <c r="Z23" s="230"/>
      <c r="AA23" s="230"/>
      <c r="AB23" s="230"/>
      <c r="AC23" s="230"/>
      <c r="AD23" s="230"/>
      <c r="AE23" s="230"/>
      <c r="AF23" s="230"/>
      <c r="AG23" s="230"/>
      <c r="AH23" s="230"/>
      <c r="AI23" s="230"/>
      <c r="AJ23" s="230"/>
      <c r="AK23" s="230"/>
    </row>
    <row r="24" spans="1:37" s="137" customFormat="1" ht="14.25" customHeight="1" x14ac:dyDescent="0.25">
      <c r="A24" s="217"/>
      <c r="B24" s="155"/>
      <c r="C24" s="155"/>
      <c r="D24" s="162"/>
      <c r="E24" s="162">
        <f>SUM(E22:E23)</f>
        <v>12000</v>
      </c>
      <c r="F24" s="415">
        <v>-3700</v>
      </c>
      <c r="G24" s="415"/>
      <c r="H24" s="415">
        <f>E24+F24</f>
        <v>8300</v>
      </c>
      <c r="I24" s="415"/>
      <c r="J24" s="415"/>
      <c r="K24" s="162">
        <f>-H24*0.7</f>
        <v>-5810</v>
      </c>
      <c r="L24" s="162">
        <f>H24+K24</f>
        <v>2490</v>
      </c>
      <c r="M24" s="162">
        <f>L24/12</f>
        <v>207.5</v>
      </c>
      <c r="N24" s="230"/>
      <c r="O24" s="352" t="s">
        <v>315</v>
      </c>
      <c r="P24" s="230"/>
      <c r="Q24" s="230"/>
      <c r="R24" s="230"/>
      <c r="S24" s="230"/>
      <c r="T24" s="230"/>
      <c r="U24" s="230"/>
      <c r="V24" s="230"/>
      <c r="W24" s="230"/>
      <c r="X24" s="230"/>
      <c r="Y24" s="230"/>
      <c r="Z24" s="230"/>
      <c r="AA24" s="230"/>
      <c r="AB24" s="230"/>
      <c r="AC24" s="230"/>
      <c r="AD24" s="230"/>
      <c r="AE24" s="230"/>
      <c r="AF24" s="230"/>
      <c r="AG24" s="230"/>
      <c r="AH24" s="230"/>
      <c r="AI24" s="230"/>
      <c r="AJ24" s="230"/>
      <c r="AK24" s="230"/>
    </row>
    <row r="25" spans="1:37" s="137" customFormat="1" ht="14.25" customHeight="1" x14ac:dyDescent="0.25">
      <c r="A25" s="217"/>
      <c r="B25" s="155"/>
      <c r="C25" s="155"/>
      <c r="D25" s="162"/>
      <c r="E25" s="162"/>
      <c r="F25" s="162"/>
      <c r="G25" s="162"/>
      <c r="H25" s="162"/>
      <c r="I25" s="162"/>
      <c r="J25" s="162"/>
      <c r="K25" s="162"/>
      <c r="L25" s="162"/>
      <c r="M25" s="162"/>
      <c r="N25" s="230"/>
      <c r="O25" s="352"/>
      <c r="P25" s="230"/>
      <c r="Q25" s="230"/>
      <c r="R25" s="230"/>
      <c r="S25" s="230"/>
      <c r="T25" s="230"/>
      <c r="U25" s="230"/>
      <c r="V25" s="230"/>
      <c r="W25" s="230"/>
      <c r="X25" s="230"/>
      <c r="Y25" s="230"/>
      <c r="Z25" s="230"/>
      <c r="AA25" s="230"/>
      <c r="AB25" s="230"/>
      <c r="AC25" s="230"/>
      <c r="AD25" s="230"/>
      <c r="AE25" s="230"/>
      <c r="AF25" s="230"/>
      <c r="AG25" s="230"/>
      <c r="AH25" s="230"/>
      <c r="AI25" s="230"/>
      <c r="AJ25" s="230"/>
      <c r="AK25" s="230"/>
    </row>
    <row r="26" spans="1:37" s="137" customFormat="1" ht="14.25" customHeight="1" x14ac:dyDescent="0.25">
      <c r="A26" s="217"/>
      <c r="B26" s="152"/>
      <c r="C26" s="409" t="s">
        <v>162</v>
      </c>
      <c r="D26" s="409"/>
      <c r="E26" s="162">
        <v>10000</v>
      </c>
      <c r="F26" s="415">
        <v>-3700</v>
      </c>
      <c r="G26" s="415"/>
      <c r="H26" s="415">
        <f>E26+F26</f>
        <v>6300</v>
      </c>
      <c r="I26" s="415"/>
      <c r="J26" s="415"/>
      <c r="K26" s="162">
        <f>-H26*0.7</f>
        <v>-4410</v>
      </c>
      <c r="L26" s="162">
        <f>H26+K26</f>
        <v>1890</v>
      </c>
      <c r="M26" s="162">
        <f>L26/12</f>
        <v>157.5</v>
      </c>
      <c r="N26" s="230"/>
      <c r="O26" s="352" t="s">
        <v>259</v>
      </c>
      <c r="P26" s="230"/>
      <c r="Q26" s="230"/>
      <c r="R26" s="230"/>
      <c r="S26" s="230"/>
      <c r="T26" s="230"/>
      <c r="U26" s="230"/>
      <c r="V26" s="230"/>
      <c r="W26" s="230"/>
      <c r="X26" s="230"/>
      <c r="Y26" s="230"/>
      <c r="Z26" s="230"/>
      <c r="AA26" s="230"/>
      <c r="AB26" s="230"/>
      <c r="AC26" s="230"/>
      <c r="AD26" s="230"/>
      <c r="AE26" s="230"/>
      <c r="AF26" s="230"/>
      <c r="AG26" s="230"/>
      <c r="AH26" s="230"/>
      <c r="AI26" s="230"/>
      <c r="AJ26" s="230"/>
      <c r="AK26" s="230"/>
    </row>
    <row r="27" spans="1:37" s="137" customFormat="1" ht="14.25" customHeight="1" x14ac:dyDescent="0.25">
      <c r="A27" s="217"/>
      <c r="B27" s="152"/>
      <c r="C27" s="384" t="s">
        <v>166</v>
      </c>
      <c r="D27" s="384"/>
      <c r="E27" s="162">
        <v>2000</v>
      </c>
      <c r="F27" s="415">
        <v>-3700</v>
      </c>
      <c r="G27" s="415"/>
      <c r="H27" s="415" t="s">
        <v>167</v>
      </c>
      <c r="I27" s="415"/>
      <c r="J27" s="415"/>
      <c r="K27" s="162">
        <v>0</v>
      </c>
      <c r="L27" s="162">
        <v>0</v>
      </c>
      <c r="M27" s="162">
        <v>0</v>
      </c>
      <c r="N27" s="230"/>
      <c r="O27" s="352"/>
      <c r="P27" s="230"/>
      <c r="Q27" s="230"/>
      <c r="R27" s="230"/>
      <c r="S27" s="230"/>
      <c r="T27" s="230"/>
      <c r="U27" s="230"/>
      <c r="V27" s="230"/>
      <c r="W27" s="230"/>
      <c r="X27" s="230"/>
      <c r="Y27" s="230"/>
      <c r="Z27" s="230"/>
      <c r="AA27" s="230"/>
      <c r="AB27" s="230"/>
      <c r="AC27" s="230"/>
      <c r="AD27" s="230"/>
      <c r="AE27" s="230"/>
      <c r="AF27" s="230"/>
      <c r="AG27" s="230"/>
      <c r="AH27" s="230"/>
      <c r="AI27" s="230"/>
      <c r="AJ27" s="230"/>
      <c r="AK27" s="230"/>
    </row>
    <row r="28" spans="1:37" s="137" customFormat="1" ht="14.25" customHeight="1" x14ac:dyDescent="0.25">
      <c r="A28" s="217"/>
      <c r="B28" s="152"/>
      <c r="C28" s="155"/>
      <c r="D28" s="162"/>
      <c r="E28" s="162"/>
      <c r="F28" s="162"/>
      <c r="G28" s="162"/>
      <c r="H28" s="162"/>
      <c r="I28" s="162"/>
      <c r="J28" s="421" t="s">
        <v>172</v>
      </c>
      <c r="K28" s="421"/>
      <c r="L28" s="421"/>
      <c r="M28" s="421"/>
      <c r="N28" s="230"/>
      <c r="O28" s="352" t="s">
        <v>317</v>
      </c>
      <c r="P28" s="230"/>
      <c r="Q28" s="230"/>
      <c r="R28" s="230"/>
      <c r="S28" s="230"/>
      <c r="T28" s="230"/>
      <c r="U28" s="230"/>
      <c r="V28" s="230"/>
      <c r="W28" s="230"/>
      <c r="X28" s="230"/>
      <c r="Y28" s="230"/>
      <c r="Z28" s="230"/>
      <c r="AA28" s="230"/>
      <c r="AB28" s="230"/>
      <c r="AC28" s="230"/>
      <c r="AD28" s="230"/>
      <c r="AE28" s="230"/>
      <c r="AF28" s="230"/>
      <c r="AG28" s="230"/>
      <c r="AH28" s="230"/>
      <c r="AI28" s="230"/>
      <c r="AJ28" s="230"/>
      <c r="AK28" s="230"/>
    </row>
    <row r="29" spans="1:37" s="137" customFormat="1" ht="14.25" customHeight="1" x14ac:dyDescent="0.25">
      <c r="A29" s="217"/>
      <c r="B29" s="152"/>
      <c r="C29" s="152"/>
      <c r="D29" s="163"/>
      <c r="E29" s="163"/>
      <c r="F29" s="163"/>
      <c r="G29" s="163"/>
      <c r="H29" s="163"/>
      <c r="I29" s="163"/>
      <c r="J29" s="163"/>
      <c r="K29" s="163"/>
      <c r="L29" s="163"/>
      <c r="M29" s="163"/>
      <c r="N29" s="230"/>
      <c r="O29" s="352"/>
      <c r="P29" s="230"/>
      <c r="Q29" s="230"/>
      <c r="R29" s="230"/>
      <c r="S29" s="230"/>
      <c r="T29" s="230"/>
      <c r="U29" s="230"/>
      <c r="V29" s="230"/>
      <c r="W29" s="230"/>
      <c r="X29" s="230"/>
      <c r="Y29" s="230"/>
      <c r="Z29" s="230"/>
      <c r="AA29" s="230"/>
      <c r="AB29" s="230"/>
      <c r="AC29" s="230"/>
      <c r="AD29" s="230"/>
      <c r="AE29" s="230"/>
      <c r="AF29" s="230"/>
      <c r="AG29" s="230"/>
      <c r="AH29" s="230"/>
      <c r="AI29" s="230"/>
      <c r="AJ29" s="230"/>
      <c r="AK29" s="230"/>
    </row>
    <row r="30" spans="1:37" s="137" customFormat="1" ht="14.25" customHeight="1" x14ac:dyDescent="0.25">
      <c r="A30" s="217"/>
      <c r="B30" s="384" t="s">
        <v>316</v>
      </c>
      <c r="C30" s="384"/>
      <c r="D30" s="384"/>
      <c r="E30" s="384"/>
      <c r="F30" s="384"/>
      <c r="G30" s="384"/>
      <c r="H30" s="384"/>
      <c r="I30" s="384"/>
      <c r="J30" s="384"/>
      <c r="K30" s="384"/>
      <c r="L30" s="384"/>
      <c r="M30" s="384"/>
      <c r="N30" s="230"/>
      <c r="O30" s="352" t="s">
        <v>318</v>
      </c>
      <c r="P30" s="230"/>
      <c r="Q30" s="230"/>
      <c r="R30" s="230"/>
      <c r="S30" s="230"/>
      <c r="T30" s="230"/>
      <c r="U30" s="230"/>
      <c r="V30" s="230"/>
      <c r="W30" s="230"/>
      <c r="X30" s="230"/>
      <c r="Y30" s="230"/>
      <c r="Z30" s="230"/>
      <c r="AA30" s="230"/>
      <c r="AB30" s="230"/>
      <c r="AC30" s="230"/>
      <c r="AD30" s="230"/>
      <c r="AE30" s="230"/>
      <c r="AF30" s="230"/>
      <c r="AG30" s="230"/>
      <c r="AH30" s="230"/>
      <c r="AI30" s="230"/>
      <c r="AJ30" s="230"/>
      <c r="AK30" s="230"/>
    </row>
    <row r="31" spans="1:37" ht="14.25" customHeight="1" x14ac:dyDescent="0.25">
      <c r="A31" s="218"/>
      <c r="B31" s="384"/>
      <c r="C31" s="384"/>
      <c r="D31" s="384"/>
      <c r="E31" s="384"/>
      <c r="F31" s="384"/>
      <c r="G31" s="384"/>
      <c r="H31" s="384"/>
      <c r="I31" s="384"/>
      <c r="J31" s="384"/>
      <c r="K31" s="384"/>
      <c r="L31" s="384"/>
      <c r="M31" s="384"/>
      <c r="N31" s="228"/>
      <c r="O31" s="352"/>
      <c r="P31" s="228"/>
      <c r="Q31" s="228"/>
      <c r="R31" s="228"/>
      <c r="S31" s="228"/>
      <c r="T31" s="228"/>
      <c r="U31" s="228"/>
      <c r="V31" s="228"/>
      <c r="W31" s="228"/>
      <c r="X31" s="228"/>
      <c r="Y31" s="228"/>
      <c r="Z31" s="228"/>
      <c r="AA31" s="228"/>
      <c r="AB31" s="228"/>
      <c r="AC31" s="228"/>
      <c r="AD31" s="228"/>
      <c r="AE31" s="228"/>
      <c r="AF31" s="228"/>
      <c r="AG31" s="228"/>
      <c r="AH31" s="228"/>
      <c r="AI31" s="228"/>
      <c r="AJ31" s="228"/>
      <c r="AK31" s="228"/>
    </row>
    <row r="32" spans="1:37" ht="8.25" customHeight="1" x14ac:dyDescent="0.25">
      <c r="A32" s="218"/>
      <c r="B32" s="147"/>
      <c r="C32" s="147"/>
      <c r="D32" s="147"/>
      <c r="E32" s="147"/>
      <c r="F32" s="147"/>
      <c r="G32" s="147"/>
      <c r="H32" s="147"/>
      <c r="I32" s="147"/>
      <c r="J32" s="147"/>
      <c r="K32" s="147"/>
      <c r="L32" s="147"/>
      <c r="M32" s="147"/>
      <c r="N32" s="228"/>
      <c r="O32" s="308"/>
      <c r="P32" s="228"/>
      <c r="Q32" s="228"/>
      <c r="R32" s="228"/>
      <c r="S32" s="228"/>
      <c r="T32" s="228"/>
      <c r="U32" s="228"/>
      <c r="V32" s="228"/>
      <c r="W32" s="228"/>
      <c r="X32" s="228"/>
      <c r="Y32" s="228"/>
      <c r="Z32" s="228"/>
      <c r="AA32" s="228"/>
      <c r="AB32" s="228"/>
      <c r="AC32" s="228"/>
      <c r="AD32" s="228"/>
      <c r="AE32" s="228"/>
      <c r="AF32" s="228"/>
      <c r="AG32" s="228"/>
      <c r="AH32" s="228"/>
      <c r="AI32" s="228"/>
      <c r="AJ32" s="228"/>
      <c r="AK32" s="228"/>
    </row>
    <row r="33" spans="1:37" ht="14.25" customHeight="1" x14ac:dyDescent="0.25">
      <c r="A33" s="218"/>
      <c r="B33" s="384" t="s">
        <v>314</v>
      </c>
      <c r="C33" s="384"/>
      <c r="D33" s="384"/>
      <c r="E33" s="384"/>
      <c r="F33" s="384"/>
      <c r="G33" s="384"/>
      <c r="H33" s="384"/>
      <c r="I33" s="384"/>
      <c r="J33" s="384"/>
      <c r="K33" s="384"/>
      <c r="L33" s="384"/>
      <c r="M33" s="384"/>
      <c r="N33" s="228"/>
      <c r="O33" s="334"/>
      <c r="P33" s="228"/>
      <c r="Q33" s="228"/>
      <c r="R33" s="228"/>
      <c r="S33" s="228"/>
      <c r="T33" s="228"/>
      <c r="U33" s="228"/>
      <c r="V33" s="228"/>
      <c r="W33" s="228"/>
      <c r="X33" s="228"/>
      <c r="Y33" s="228"/>
      <c r="Z33" s="228"/>
      <c r="AA33" s="228"/>
      <c r="AB33" s="228"/>
      <c r="AC33" s="228"/>
      <c r="AD33" s="228"/>
      <c r="AE33" s="228"/>
      <c r="AF33" s="228"/>
      <c r="AG33" s="228"/>
      <c r="AH33" s="228"/>
      <c r="AI33" s="228"/>
      <c r="AJ33" s="228"/>
      <c r="AK33" s="228"/>
    </row>
    <row r="34" spans="1:37" ht="14.25" customHeight="1" x14ac:dyDescent="0.25">
      <c r="A34" s="218"/>
      <c r="B34" s="384"/>
      <c r="C34" s="384"/>
      <c r="D34" s="384"/>
      <c r="E34" s="384"/>
      <c r="F34" s="384"/>
      <c r="G34" s="384"/>
      <c r="H34" s="384"/>
      <c r="I34" s="384"/>
      <c r="J34" s="384"/>
      <c r="K34" s="384"/>
      <c r="L34" s="384"/>
      <c r="M34" s="384"/>
      <c r="N34" s="228"/>
      <c r="O34" s="334"/>
      <c r="P34" s="228"/>
      <c r="Q34" s="228"/>
      <c r="R34" s="228"/>
      <c r="S34" s="228"/>
      <c r="T34" s="228"/>
      <c r="U34" s="228"/>
      <c r="V34" s="228"/>
      <c r="W34" s="228"/>
      <c r="X34" s="228"/>
      <c r="Y34" s="228"/>
      <c r="Z34" s="228"/>
      <c r="AA34" s="228"/>
      <c r="AB34" s="228"/>
      <c r="AC34" s="228"/>
      <c r="AD34" s="228"/>
      <c r="AE34" s="228"/>
      <c r="AF34" s="228"/>
      <c r="AG34" s="228"/>
      <c r="AH34" s="228"/>
      <c r="AI34" s="228"/>
      <c r="AJ34" s="228"/>
      <c r="AK34" s="228"/>
    </row>
    <row r="35" spans="1:37" s="14" customFormat="1" ht="30" customHeight="1" x14ac:dyDescent="0.25">
      <c r="A35" s="219"/>
      <c r="B35" s="397" t="s">
        <v>298</v>
      </c>
      <c r="C35" s="397"/>
      <c r="D35" s="397"/>
      <c r="E35" s="397"/>
      <c r="F35" s="397"/>
      <c r="G35" s="397"/>
      <c r="H35" s="397"/>
      <c r="I35" s="397"/>
      <c r="J35" s="397"/>
      <c r="K35" s="397"/>
      <c r="L35" s="397"/>
      <c r="M35" s="397"/>
      <c r="N35" s="231"/>
      <c r="O35" s="334"/>
      <c r="P35" s="231"/>
      <c r="Q35" s="231"/>
      <c r="R35" s="231"/>
      <c r="S35" s="231"/>
      <c r="T35" s="231"/>
      <c r="U35" s="231"/>
      <c r="V35" s="231"/>
      <c r="W35" s="231"/>
      <c r="X35" s="231"/>
      <c r="Y35" s="231"/>
      <c r="Z35" s="231"/>
      <c r="AA35" s="231"/>
      <c r="AB35" s="231"/>
      <c r="AC35" s="231"/>
      <c r="AD35" s="231"/>
      <c r="AE35" s="231"/>
      <c r="AF35" s="231"/>
      <c r="AG35" s="231"/>
      <c r="AH35" s="231"/>
      <c r="AI35" s="231"/>
      <c r="AJ35" s="231"/>
      <c r="AK35" s="231"/>
    </row>
    <row r="36" spans="1:37" ht="45" customHeight="1" x14ac:dyDescent="0.25">
      <c r="A36" s="218"/>
      <c r="B36" s="419"/>
      <c r="C36" s="419"/>
      <c r="D36" s="419"/>
      <c r="E36" s="419"/>
      <c r="F36" s="419"/>
      <c r="G36" s="419"/>
      <c r="H36" s="419"/>
      <c r="I36" s="419"/>
      <c r="J36" s="419"/>
      <c r="K36" s="419"/>
      <c r="L36" s="419"/>
      <c r="M36" s="419"/>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row>
    <row r="37" spans="1:37" ht="45" customHeight="1" x14ac:dyDescent="0.25">
      <c r="A37" s="218"/>
      <c r="B37" s="218"/>
      <c r="C37" s="218"/>
      <c r="D37" s="218"/>
      <c r="E37" s="218"/>
      <c r="F37" s="218"/>
      <c r="G37" s="218"/>
      <c r="H37" s="218"/>
      <c r="I37" s="218"/>
      <c r="J37" s="218"/>
      <c r="K37" s="218"/>
      <c r="L37" s="218"/>
      <c r="M37" s="220"/>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row>
    <row r="38" spans="1:37" ht="45" customHeight="1" x14ac:dyDescent="0.25">
      <c r="A38" s="218"/>
      <c r="B38" s="218"/>
      <c r="C38" s="218"/>
      <c r="D38" s="218"/>
      <c r="E38" s="218"/>
      <c r="F38" s="218"/>
      <c r="G38" s="218"/>
      <c r="H38" s="218"/>
      <c r="I38" s="218"/>
      <c r="J38" s="218"/>
      <c r="K38" s="218"/>
      <c r="L38" s="218"/>
      <c r="M38" s="220"/>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row>
    <row r="39" spans="1:37" ht="45" customHeight="1" x14ac:dyDescent="0.25">
      <c r="A39" s="218"/>
      <c r="B39" s="218"/>
      <c r="C39" s="218"/>
      <c r="D39" s="218"/>
      <c r="E39" s="218"/>
      <c r="F39" s="218"/>
      <c r="G39" s="218"/>
      <c r="H39" s="218"/>
      <c r="I39" s="218"/>
      <c r="J39" s="218"/>
      <c r="K39" s="218"/>
      <c r="L39" s="218"/>
      <c r="M39" s="220"/>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row>
    <row r="40" spans="1:37" ht="45" customHeight="1" x14ac:dyDescent="0.25">
      <c r="A40" s="218"/>
      <c r="B40" s="218"/>
      <c r="C40" s="218"/>
      <c r="D40" s="218"/>
      <c r="E40" s="218"/>
      <c r="F40" s="218"/>
      <c r="G40" s="218"/>
      <c r="H40" s="218"/>
      <c r="I40" s="218"/>
      <c r="J40" s="218"/>
      <c r="K40" s="218"/>
      <c r="L40" s="218"/>
      <c r="M40" s="220"/>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row>
    <row r="41" spans="1:37" ht="45" customHeight="1" x14ac:dyDescent="0.25">
      <c r="A41" s="218"/>
      <c r="B41" s="218"/>
      <c r="C41" s="218"/>
      <c r="D41" s="218"/>
      <c r="E41" s="218"/>
      <c r="F41" s="218"/>
      <c r="G41" s="218"/>
      <c r="H41" s="218"/>
      <c r="I41" s="218"/>
      <c r="J41" s="218"/>
      <c r="K41" s="218"/>
      <c r="L41" s="218"/>
      <c r="M41" s="220"/>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row>
    <row r="42" spans="1:37" ht="45" customHeight="1" x14ac:dyDescent="0.25">
      <c r="A42" s="218"/>
      <c r="B42" s="218"/>
      <c r="C42" s="218"/>
      <c r="D42" s="218"/>
      <c r="E42" s="218"/>
      <c r="F42" s="218"/>
      <c r="G42" s="218"/>
      <c r="H42" s="218"/>
      <c r="I42" s="218"/>
      <c r="J42" s="218"/>
      <c r="K42" s="218"/>
      <c r="L42" s="218"/>
      <c r="M42" s="220"/>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row>
    <row r="43" spans="1:37" ht="45" customHeight="1" x14ac:dyDescent="0.25">
      <c r="A43" s="218"/>
      <c r="B43" s="218"/>
      <c r="C43" s="218"/>
      <c r="D43" s="218"/>
      <c r="E43" s="218"/>
      <c r="F43" s="218"/>
      <c r="G43" s="218"/>
      <c r="H43" s="218"/>
      <c r="I43" s="218"/>
      <c r="J43" s="218"/>
      <c r="K43" s="218"/>
      <c r="L43" s="218"/>
      <c r="M43" s="220"/>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row>
    <row r="44" spans="1:37" ht="45" customHeight="1" x14ac:dyDescent="0.25">
      <c r="A44" s="218"/>
      <c r="B44" s="218"/>
      <c r="C44" s="218"/>
      <c r="D44" s="218"/>
      <c r="E44" s="218"/>
      <c r="F44" s="218"/>
      <c r="G44" s="218"/>
      <c r="H44" s="218"/>
      <c r="I44" s="218"/>
      <c r="J44" s="218"/>
      <c r="K44" s="218"/>
      <c r="L44" s="218"/>
      <c r="M44" s="220"/>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row>
    <row r="45" spans="1:37" ht="45" customHeight="1" x14ac:dyDescent="0.25">
      <c r="A45" s="218"/>
      <c r="B45" s="218"/>
      <c r="C45" s="218"/>
      <c r="D45" s="218"/>
      <c r="E45" s="218"/>
      <c r="F45" s="218"/>
      <c r="G45" s="218"/>
      <c r="H45" s="218"/>
      <c r="I45" s="218"/>
      <c r="J45" s="218"/>
      <c r="K45" s="218"/>
      <c r="L45" s="218"/>
      <c r="M45" s="220"/>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row>
    <row r="46" spans="1:37" ht="45" customHeight="1" x14ac:dyDescent="0.25">
      <c r="A46" s="218"/>
      <c r="B46" s="218"/>
      <c r="C46" s="218"/>
      <c r="D46" s="218"/>
      <c r="E46" s="218"/>
      <c r="F46" s="218"/>
      <c r="G46" s="218"/>
      <c r="H46" s="218"/>
      <c r="I46" s="218"/>
      <c r="J46" s="218"/>
      <c r="K46" s="218"/>
      <c r="L46" s="218"/>
      <c r="M46" s="220"/>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row>
    <row r="47" spans="1:37" ht="45" customHeight="1" x14ac:dyDescent="0.25">
      <c r="A47" s="218"/>
      <c r="B47" s="218"/>
      <c r="C47" s="218"/>
      <c r="D47" s="218"/>
      <c r="E47" s="218"/>
      <c r="F47" s="218"/>
      <c r="G47" s="218"/>
      <c r="H47" s="218"/>
      <c r="I47" s="218"/>
      <c r="J47" s="218"/>
      <c r="K47" s="218"/>
      <c r="L47" s="218"/>
      <c r="M47" s="220"/>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row>
    <row r="48" spans="1:37" ht="45" customHeight="1" x14ac:dyDescent="0.25">
      <c r="A48" s="218"/>
      <c r="B48" s="218"/>
      <c r="C48" s="218"/>
      <c r="D48" s="218"/>
      <c r="E48" s="218"/>
      <c r="F48" s="218"/>
      <c r="G48" s="218"/>
      <c r="H48" s="218"/>
      <c r="I48" s="218"/>
      <c r="J48" s="218"/>
      <c r="K48" s="218"/>
      <c r="L48" s="218"/>
      <c r="M48" s="220"/>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row>
    <row r="49" spans="1:37" ht="45" customHeight="1" x14ac:dyDescent="0.25">
      <c r="A49" s="218"/>
      <c r="B49" s="218"/>
      <c r="C49" s="218"/>
      <c r="D49" s="218"/>
      <c r="E49" s="218"/>
      <c r="F49" s="218"/>
      <c r="G49" s="218"/>
      <c r="H49" s="218"/>
      <c r="I49" s="218"/>
      <c r="J49" s="218"/>
      <c r="K49" s="218"/>
      <c r="L49" s="218"/>
      <c r="M49" s="220"/>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row>
    <row r="50" spans="1:37" ht="45" customHeight="1" x14ac:dyDescent="0.25">
      <c r="A50" s="218"/>
      <c r="B50" s="218"/>
      <c r="C50" s="218"/>
      <c r="D50" s="218"/>
      <c r="E50" s="218"/>
      <c r="F50" s="218"/>
      <c r="G50" s="218"/>
      <c r="H50" s="218"/>
      <c r="I50" s="218"/>
      <c r="J50" s="218"/>
      <c r="K50" s="218"/>
      <c r="L50" s="218"/>
      <c r="M50" s="220"/>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row>
    <row r="51" spans="1:37" ht="45" customHeight="1" x14ac:dyDescent="0.25">
      <c r="A51" s="218"/>
      <c r="B51" s="218"/>
      <c r="C51" s="218"/>
      <c r="D51" s="218"/>
      <c r="E51" s="218"/>
      <c r="F51" s="218"/>
      <c r="G51" s="218"/>
      <c r="H51" s="218"/>
      <c r="I51" s="218"/>
      <c r="J51" s="218"/>
      <c r="K51" s="218"/>
      <c r="L51" s="218"/>
      <c r="M51" s="220"/>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row>
    <row r="52" spans="1:37" ht="45" customHeight="1" x14ac:dyDescent="0.25">
      <c r="A52" s="218"/>
      <c r="B52" s="218"/>
      <c r="C52" s="218"/>
      <c r="D52" s="218"/>
      <c r="E52" s="218"/>
      <c r="F52" s="218"/>
      <c r="G52" s="218"/>
      <c r="H52" s="218"/>
      <c r="I52" s="218"/>
      <c r="J52" s="218"/>
      <c r="K52" s="218"/>
      <c r="L52" s="218"/>
      <c r="M52" s="220"/>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row>
    <row r="53" spans="1:37" ht="45" customHeight="1" x14ac:dyDescent="0.25">
      <c r="A53" s="218"/>
      <c r="B53" s="218"/>
      <c r="C53" s="218"/>
      <c r="D53" s="218"/>
      <c r="E53" s="218"/>
      <c r="F53" s="218"/>
      <c r="G53" s="218"/>
      <c r="H53" s="218"/>
      <c r="I53" s="218"/>
      <c r="J53" s="218"/>
      <c r="K53" s="218"/>
      <c r="L53" s="218"/>
      <c r="M53" s="220"/>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row>
    <row r="54" spans="1:37" ht="45" customHeight="1" x14ac:dyDescent="0.25">
      <c r="A54" s="218"/>
      <c r="B54" s="218"/>
      <c r="C54" s="218"/>
      <c r="D54" s="218"/>
      <c r="E54" s="218"/>
      <c r="F54" s="218"/>
      <c r="G54" s="218"/>
      <c r="H54" s="218"/>
      <c r="I54" s="218"/>
      <c r="J54" s="218"/>
      <c r="K54" s="218"/>
      <c r="L54" s="218"/>
      <c r="M54" s="220"/>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row>
    <row r="55" spans="1:37" ht="45" customHeight="1" x14ac:dyDescent="0.25">
      <c r="A55" s="218"/>
      <c r="B55" s="218"/>
      <c r="C55" s="218"/>
      <c r="D55" s="218"/>
      <c r="E55" s="218"/>
      <c r="F55" s="218"/>
      <c r="G55" s="218"/>
      <c r="H55" s="218"/>
      <c r="I55" s="218"/>
      <c r="J55" s="218"/>
      <c r="K55" s="218"/>
      <c r="L55" s="218"/>
      <c r="M55" s="220"/>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row>
    <row r="56" spans="1:37" ht="45" customHeight="1" x14ac:dyDescent="0.25">
      <c r="A56" s="218"/>
      <c r="B56" s="218"/>
      <c r="C56" s="218"/>
      <c r="D56" s="218"/>
      <c r="E56" s="218"/>
      <c r="F56" s="218"/>
      <c r="G56" s="218"/>
      <c r="H56" s="218"/>
      <c r="I56" s="218"/>
      <c r="J56" s="218"/>
      <c r="K56" s="218"/>
      <c r="L56" s="218"/>
      <c r="M56" s="220"/>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row>
    <row r="57" spans="1:37" ht="45" customHeight="1" x14ac:dyDescent="0.25">
      <c r="A57" s="218"/>
      <c r="B57" s="218"/>
      <c r="C57" s="218"/>
      <c r="D57" s="218"/>
      <c r="E57" s="218"/>
      <c r="F57" s="218"/>
      <c r="G57" s="218"/>
      <c r="H57" s="218"/>
      <c r="I57" s="218"/>
      <c r="J57" s="218"/>
      <c r="K57" s="218"/>
      <c r="L57" s="218"/>
      <c r="M57" s="220"/>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row>
    <row r="58" spans="1:37" ht="45" customHeight="1" x14ac:dyDescent="0.25">
      <c r="A58" s="218"/>
      <c r="B58" s="218"/>
      <c r="C58" s="218"/>
      <c r="D58" s="218"/>
      <c r="E58" s="218"/>
      <c r="F58" s="218"/>
      <c r="G58" s="218"/>
      <c r="H58" s="218"/>
      <c r="I58" s="218"/>
      <c r="J58" s="218"/>
      <c r="K58" s="218"/>
      <c r="L58" s="218"/>
      <c r="M58" s="220"/>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row>
    <row r="59" spans="1:37" ht="45" customHeight="1" x14ac:dyDescent="0.25">
      <c r="A59" s="218"/>
      <c r="B59" s="218"/>
      <c r="C59" s="218"/>
      <c r="D59" s="218"/>
      <c r="E59" s="218"/>
      <c r="F59" s="218"/>
      <c r="G59" s="218"/>
      <c r="H59" s="218"/>
      <c r="I59" s="218"/>
      <c r="J59" s="218"/>
      <c r="K59" s="218"/>
      <c r="L59" s="218"/>
      <c r="M59" s="220"/>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row>
    <row r="60" spans="1:37" ht="45" customHeight="1" x14ac:dyDescent="0.25">
      <c r="A60" s="218"/>
      <c r="B60" s="218"/>
      <c r="C60" s="218"/>
      <c r="D60" s="218"/>
      <c r="E60" s="218"/>
      <c r="F60" s="218"/>
      <c r="G60" s="218"/>
      <c r="H60" s="218"/>
      <c r="I60" s="218"/>
      <c r="J60" s="218"/>
      <c r="K60" s="218"/>
      <c r="L60" s="218"/>
      <c r="M60" s="220"/>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row>
    <row r="61" spans="1:37" ht="45" customHeight="1" x14ac:dyDescent="0.25">
      <c r="A61" s="218"/>
      <c r="B61" s="218"/>
      <c r="C61" s="218"/>
      <c r="D61" s="218"/>
      <c r="E61" s="218"/>
      <c r="F61" s="218"/>
      <c r="G61" s="218"/>
      <c r="H61" s="218"/>
      <c r="I61" s="218"/>
      <c r="J61" s="218"/>
      <c r="K61" s="218"/>
      <c r="L61" s="218"/>
      <c r="M61" s="220"/>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row>
    <row r="62" spans="1:37" ht="45" customHeight="1" x14ac:dyDescent="0.25">
      <c r="A62" s="218"/>
      <c r="B62" s="218"/>
      <c r="C62" s="218"/>
      <c r="D62" s="218"/>
      <c r="E62" s="218"/>
      <c r="F62" s="218"/>
      <c r="G62" s="218"/>
      <c r="H62" s="218"/>
      <c r="I62" s="218"/>
      <c r="J62" s="218"/>
      <c r="K62" s="218"/>
      <c r="L62" s="218"/>
      <c r="M62" s="220"/>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row>
    <row r="63" spans="1:37" ht="45" customHeight="1" x14ac:dyDescent="0.25">
      <c r="A63" s="218"/>
      <c r="B63" s="218"/>
      <c r="C63" s="218"/>
      <c r="D63" s="218"/>
      <c r="E63" s="218"/>
      <c r="F63" s="218"/>
      <c r="G63" s="218"/>
      <c r="H63" s="218"/>
      <c r="I63" s="218"/>
      <c r="J63" s="218"/>
      <c r="K63" s="218"/>
      <c r="L63" s="218"/>
      <c r="M63" s="220"/>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row>
    <row r="64" spans="1:37" ht="45" customHeight="1" x14ac:dyDescent="0.25">
      <c r="A64" s="218"/>
      <c r="B64" s="218"/>
      <c r="C64" s="218"/>
      <c r="D64" s="218"/>
      <c r="E64" s="218"/>
      <c r="F64" s="218"/>
      <c r="G64" s="218"/>
      <c r="H64" s="218"/>
      <c r="I64" s="218"/>
      <c r="J64" s="218"/>
      <c r="K64" s="218"/>
      <c r="L64" s="218"/>
      <c r="M64" s="220"/>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row>
    <row r="65" spans="1:37" ht="45" customHeight="1" x14ac:dyDescent="0.25">
      <c r="A65" s="218"/>
      <c r="B65" s="218"/>
      <c r="C65" s="218"/>
      <c r="D65" s="218"/>
      <c r="E65" s="218"/>
      <c r="F65" s="218"/>
      <c r="G65" s="218"/>
      <c r="H65" s="218"/>
      <c r="I65" s="218"/>
      <c r="J65" s="218"/>
      <c r="K65" s="218"/>
      <c r="L65" s="218"/>
      <c r="M65" s="220"/>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row>
    <row r="66" spans="1:37" ht="45" customHeight="1" x14ac:dyDescent="0.25">
      <c r="A66" s="218"/>
      <c r="B66" s="218"/>
      <c r="C66" s="218"/>
      <c r="D66" s="218"/>
      <c r="E66" s="218"/>
      <c r="F66" s="218"/>
      <c r="G66" s="218"/>
      <c r="H66" s="218"/>
      <c r="I66" s="218"/>
      <c r="J66" s="218"/>
      <c r="K66" s="218"/>
      <c r="L66" s="218"/>
      <c r="M66" s="220"/>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row>
    <row r="67" spans="1:37" ht="45" customHeight="1" x14ac:dyDescent="0.25">
      <c r="A67" s="218"/>
      <c r="B67" s="218"/>
      <c r="C67" s="218"/>
      <c r="D67" s="218"/>
      <c r="E67" s="218"/>
      <c r="F67" s="218"/>
      <c r="G67" s="218"/>
      <c r="H67" s="218"/>
      <c r="I67" s="218"/>
      <c r="J67" s="218"/>
      <c r="K67" s="218"/>
      <c r="L67" s="218"/>
      <c r="M67" s="220"/>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row>
    <row r="68" spans="1:37" ht="45" customHeight="1" x14ac:dyDescent="0.25">
      <c r="A68" s="218"/>
      <c r="B68" s="218"/>
      <c r="C68" s="218"/>
      <c r="D68" s="218"/>
      <c r="E68" s="218"/>
      <c r="F68" s="218"/>
      <c r="G68" s="218"/>
      <c r="H68" s="218"/>
      <c r="I68" s="218"/>
      <c r="J68" s="218"/>
      <c r="K68" s="218"/>
      <c r="L68" s="218"/>
      <c r="M68" s="220"/>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row>
    <row r="69" spans="1:37" ht="45" customHeight="1" x14ac:dyDescent="0.25">
      <c r="A69" s="218"/>
      <c r="B69" s="218"/>
      <c r="C69" s="218"/>
      <c r="D69" s="218"/>
      <c r="E69" s="218"/>
      <c r="F69" s="218"/>
      <c r="G69" s="218"/>
      <c r="H69" s="218"/>
      <c r="I69" s="218"/>
      <c r="J69" s="218"/>
      <c r="K69" s="218"/>
      <c r="L69" s="218"/>
      <c r="M69" s="220"/>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row>
    <row r="70" spans="1:37" ht="45" customHeight="1" x14ac:dyDescent="0.25">
      <c r="A70" s="218"/>
      <c r="B70" s="218"/>
      <c r="C70" s="218"/>
      <c r="D70" s="218"/>
      <c r="E70" s="218"/>
      <c r="F70" s="218"/>
      <c r="G70" s="218"/>
      <c r="H70" s="218"/>
      <c r="I70" s="218"/>
      <c r="J70" s="218"/>
      <c r="K70" s="218"/>
      <c r="L70" s="218"/>
      <c r="M70" s="220"/>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row>
    <row r="71" spans="1:37" ht="45" customHeight="1" x14ac:dyDescent="0.25">
      <c r="A71" s="218"/>
      <c r="B71" s="218"/>
      <c r="C71" s="218"/>
      <c r="D71" s="218"/>
      <c r="E71" s="218"/>
      <c r="F71" s="218"/>
      <c r="G71" s="218"/>
      <c r="H71" s="218"/>
      <c r="I71" s="218"/>
      <c r="J71" s="218"/>
      <c r="K71" s="218"/>
      <c r="L71" s="218"/>
      <c r="M71" s="220"/>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row>
    <row r="72" spans="1:37" ht="45" customHeight="1" x14ac:dyDescent="0.25">
      <c r="A72" s="218"/>
      <c r="B72" s="218"/>
      <c r="C72" s="218"/>
      <c r="D72" s="218"/>
      <c r="E72" s="218"/>
      <c r="F72" s="218"/>
      <c r="G72" s="218"/>
      <c r="H72" s="218"/>
      <c r="I72" s="218"/>
      <c r="J72" s="218"/>
      <c r="K72" s="218"/>
      <c r="L72" s="218"/>
      <c r="M72" s="220"/>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row>
    <row r="73" spans="1:37" ht="45" customHeight="1" x14ac:dyDescent="0.25">
      <c r="A73" s="218"/>
      <c r="B73" s="218"/>
      <c r="C73" s="218"/>
      <c r="D73" s="218"/>
      <c r="E73" s="218"/>
      <c r="F73" s="218"/>
      <c r="G73" s="218"/>
      <c r="H73" s="218"/>
      <c r="I73" s="218"/>
      <c r="J73" s="218"/>
      <c r="K73" s="218"/>
      <c r="L73" s="218"/>
      <c r="M73" s="220"/>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row>
    <row r="74" spans="1:37" ht="45" customHeight="1" x14ac:dyDescent="0.25">
      <c r="A74" s="218"/>
      <c r="B74" s="218"/>
      <c r="C74" s="218"/>
      <c r="D74" s="218"/>
      <c r="E74" s="218"/>
      <c r="F74" s="218"/>
      <c r="G74" s="218"/>
      <c r="H74" s="218"/>
      <c r="I74" s="218"/>
      <c r="J74" s="218"/>
      <c r="K74" s="218"/>
      <c r="L74" s="218"/>
      <c r="M74" s="220"/>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row>
    <row r="75" spans="1:37" ht="45" customHeight="1" x14ac:dyDescent="0.25">
      <c r="A75" s="218"/>
      <c r="B75" s="218"/>
      <c r="C75" s="218"/>
      <c r="D75" s="218"/>
      <c r="E75" s="218"/>
      <c r="F75" s="218"/>
      <c r="G75" s="218"/>
      <c r="H75" s="218"/>
      <c r="I75" s="218"/>
      <c r="J75" s="218"/>
      <c r="K75" s="218"/>
      <c r="L75" s="218"/>
      <c r="M75" s="220"/>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row>
    <row r="76" spans="1:37" ht="45" customHeight="1" x14ac:dyDescent="0.25">
      <c r="A76" s="218"/>
      <c r="B76" s="218"/>
      <c r="C76" s="218"/>
      <c r="D76" s="218"/>
      <c r="E76" s="218"/>
      <c r="F76" s="218"/>
      <c r="G76" s="218"/>
      <c r="H76" s="218"/>
      <c r="I76" s="218"/>
      <c r="J76" s="218"/>
      <c r="K76" s="218"/>
      <c r="L76" s="218"/>
      <c r="M76" s="220"/>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row>
    <row r="77" spans="1:37" ht="45" customHeight="1" x14ac:dyDescent="0.25">
      <c r="A77" s="218"/>
      <c r="B77" s="218"/>
      <c r="C77" s="218"/>
      <c r="D77" s="218"/>
      <c r="E77" s="218"/>
      <c r="F77" s="218"/>
      <c r="G77" s="218"/>
      <c r="H77" s="218"/>
      <c r="I77" s="218"/>
      <c r="J77" s="218"/>
      <c r="K77" s="218"/>
      <c r="L77" s="218"/>
      <c r="M77" s="220"/>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row>
    <row r="78" spans="1:37" ht="45" customHeight="1" x14ac:dyDescent="0.25">
      <c r="A78" s="218"/>
      <c r="B78" s="218"/>
      <c r="C78" s="218"/>
      <c r="D78" s="218"/>
      <c r="E78" s="218"/>
      <c r="F78" s="218"/>
      <c r="G78" s="218"/>
      <c r="H78" s="218"/>
      <c r="I78" s="218"/>
      <c r="J78" s="218"/>
      <c r="K78" s="218"/>
      <c r="L78" s="218"/>
      <c r="M78" s="220"/>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row>
    <row r="79" spans="1:37" ht="45" customHeight="1" x14ac:dyDescent="0.25">
      <c r="A79" s="218"/>
      <c r="B79" s="218"/>
      <c r="C79" s="218"/>
      <c r="D79" s="218"/>
      <c r="E79" s="218"/>
      <c r="F79" s="218"/>
      <c r="G79" s="218"/>
      <c r="H79" s="218"/>
      <c r="I79" s="218"/>
      <c r="J79" s="218"/>
      <c r="K79" s="218"/>
      <c r="L79" s="218"/>
      <c r="M79" s="220"/>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row>
    <row r="80" spans="1:37" ht="45" customHeight="1" x14ac:dyDescent="0.25">
      <c r="A80" s="218"/>
      <c r="B80" s="218"/>
      <c r="C80" s="218"/>
      <c r="D80" s="218"/>
      <c r="E80" s="218"/>
      <c r="F80" s="218"/>
      <c r="G80" s="218"/>
      <c r="H80" s="218"/>
      <c r="I80" s="218"/>
      <c r="J80" s="218"/>
      <c r="K80" s="218"/>
      <c r="L80" s="218"/>
      <c r="M80" s="220"/>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row>
    <row r="81" spans="1:37" ht="45" customHeight="1" x14ac:dyDescent="0.25">
      <c r="A81" s="218"/>
      <c r="B81" s="218"/>
      <c r="C81" s="218"/>
      <c r="D81" s="218"/>
      <c r="E81" s="218"/>
      <c r="F81" s="218"/>
      <c r="G81" s="218"/>
      <c r="H81" s="218"/>
      <c r="I81" s="218"/>
      <c r="J81" s="218"/>
      <c r="K81" s="218"/>
      <c r="L81" s="218"/>
      <c r="M81" s="220"/>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row>
    <row r="82" spans="1:37" ht="45" customHeight="1" x14ac:dyDescent="0.25"/>
    <row r="83" spans="1:37" ht="45" customHeight="1" x14ac:dyDescent="0.25"/>
    <row r="84" spans="1:37" ht="45" customHeight="1" x14ac:dyDescent="0.25"/>
  </sheetData>
  <mergeCells count="39">
    <mergeCell ref="O7:O8"/>
    <mergeCell ref="O9:O10"/>
    <mergeCell ref="O11:O13"/>
    <mergeCell ref="O17:O19"/>
    <mergeCell ref="O24:O25"/>
    <mergeCell ref="B35:M35"/>
    <mergeCell ref="B30:M31"/>
    <mergeCell ref="B33:M34"/>
    <mergeCell ref="O26:O27"/>
    <mergeCell ref="O28:O29"/>
    <mergeCell ref="J28:M28"/>
    <mergeCell ref="H27:J27"/>
    <mergeCell ref="O30:O31"/>
    <mergeCell ref="B36:M36"/>
    <mergeCell ref="B2:M2"/>
    <mergeCell ref="B3:M3"/>
    <mergeCell ref="D5:M5"/>
    <mergeCell ref="B14:M16"/>
    <mergeCell ref="B6:M12"/>
    <mergeCell ref="C27:D27"/>
    <mergeCell ref="F27:G27"/>
    <mergeCell ref="H24:J24"/>
    <mergeCell ref="H26:J26"/>
    <mergeCell ref="E18:E19"/>
    <mergeCell ref="C26:D26"/>
    <mergeCell ref="F24:G24"/>
    <mergeCell ref="F26:G26"/>
    <mergeCell ref="C18:D19"/>
    <mergeCell ref="C20:D20"/>
    <mergeCell ref="C22:D22"/>
    <mergeCell ref="C23:D23"/>
    <mergeCell ref="L18:M18"/>
    <mergeCell ref="F18:G19"/>
    <mergeCell ref="F20:G20"/>
    <mergeCell ref="F22:G22"/>
    <mergeCell ref="H18:J18"/>
    <mergeCell ref="H19:J19"/>
    <mergeCell ref="H20:J20"/>
    <mergeCell ref="H22:J22"/>
  </mergeCells>
  <phoneticPr fontId="6" type="noConversion"/>
  <conditionalFormatting sqref="O11:O13">
    <cfRule type="expression" dxfId="7" priority="1" stopIfTrue="1">
      <formula>IF($AY$1=1,TRUE,FALSE)</formula>
    </cfRule>
  </conditionalFormatting>
  <hyperlinks>
    <hyperlink ref="O11:O12" location="Pacht!A1" display="Zu-/Verpachtung bzw. Zu-/Verkauf"/>
    <hyperlink ref="O9:O10" location="'Internetfenster 2'!F6" display="Vergleichsbetrieb à"/>
    <hyperlink ref="O7:O8" location="'Internetfenster 1'!A1" display="Ausgangsbetrieb à"/>
    <hyperlink ref="O24" location="'EHW-Änderungen'!E5" display="Änderungen des Einheitswertes"/>
    <hyperlink ref="O17" location="'Beiträge aus EHW'!I5" display="Beiträge aus dem Einheitswert à"/>
    <hyperlink ref="O26" location="'Höchst-BTG'!A1" display="Höchst-Beitragsgrundlagen"/>
    <hyperlink ref="O28" location="'Kleine Option'!A1" display="Kleine Option"/>
    <hyperlink ref="O30" location="'BTG-Option'!A1" display="Beitragsgrundlagen-Option"/>
  </hyperlinks>
  <printOptions horizontalCentered="1"/>
  <pageMargins left="0.59055118110236227" right="0.59055118110236227" top="0.59055118110236227" bottom="0.59055118110236227" header="0.51181102362204722" footer="0.51181102362204722"/>
  <pageSetup paperSize="9" scale="82" orientation="landscape" r:id="rId1"/>
  <headerFooter alignWithMargins="0">
    <oddFooter>&amp;L&amp;8SVB-Beitragsberechnungsprogramm&amp;C&amp;8Bitte beachten: Die ermittelten Ergebnisse dienen lediglich der Information und sind unverbindlich!&amp;R&amp;8&amp;D</oddFooter>
  </headerFooter>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AL83"/>
  <sheetViews>
    <sheetView showGridLines="0" topLeftCell="A4" zoomScaleNormal="100" workbookViewId="0">
      <selection activeCell="L7" sqref="L7:L8"/>
    </sheetView>
  </sheetViews>
  <sheetFormatPr baseColWidth="10" defaultColWidth="11" defaultRowHeight="13.8" x14ac:dyDescent="0.25"/>
  <cols>
    <col min="1" max="1" width="11" style="134"/>
    <col min="2" max="2" width="3" style="134" customWidth="1"/>
    <col min="3" max="3" width="17.59765625" style="134" customWidth="1"/>
    <col min="4" max="6" width="19.59765625" style="134" customWidth="1"/>
    <col min="7" max="8" width="14.8984375" style="134" customWidth="1"/>
    <col min="9" max="9" width="17.8984375" style="134" customWidth="1"/>
    <col min="10" max="10" width="11.8984375" style="135" customWidth="1"/>
    <col min="11" max="11" width="4.09765625" style="134" customWidth="1"/>
    <col min="12" max="12" width="30.59765625" style="134" customWidth="1"/>
    <col min="13" max="13" width="11" style="134"/>
    <col min="14" max="16" width="13.69921875" style="134" customWidth="1"/>
    <col min="17" max="16384" width="11" style="134"/>
  </cols>
  <sheetData>
    <row r="1" spans="1:38" x14ac:dyDescent="0.25">
      <c r="A1" s="228"/>
      <c r="B1" s="228"/>
      <c r="C1" s="228"/>
      <c r="D1" s="228"/>
      <c r="E1" s="228"/>
      <c r="F1" s="228"/>
      <c r="G1" s="228"/>
      <c r="H1" s="228"/>
      <c r="I1" s="228"/>
      <c r="J1" s="242"/>
      <c r="K1" s="228"/>
      <c r="L1" s="228"/>
      <c r="M1" s="228"/>
      <c r="N1" s="213"/>
      <c r="O1" s="213"/>
      <c r="P1" s="213"/>
      <c r="Q1" s="218"/>
      <c r="R1" s="218"/>
      <c r="S1" s="218"/>
      <c r="T1" s="218"/>
      <c r="U1" s="218"/>
      <c r="V1" s="218"/>
      <c r="W1" s="218"/>
      <c r="X1" s="218"/>
      <c r="Y1" s="218"/>
      <c r="Z1" s="218"/>
      <c r="AA1" s="218"/>
      <c r="AB1" s="218"/>
      <c r="AC1" s="218"/>
      <c r="AD1" s="218"/>
      <c r="AE1" s="218"/>
      <c r="AF1" s="218"/>
      <c r="AG1" s="218"/>
      <c r="AH1" s="218"/>
      <c r="AI1" s="218"/>
      <c r="AJ1" s="218"/>
      <c r="AK1" s="218"/>
      <c r="AL1" s="218"/>
    </row>
    <row r="2" spans="1:38" s="136" customFormat="1" ht="21" x14ac:dyDescent="0.25">
      <c r="A2" s="229"/>
      <c r="B2" s="359" t="s">
        <v>231</v>
      </c>
      <c r="C2" s="359"/>
      <c r="D2" s="359"/>
      <c r="E2" s="359"/>
      <c r="F2" s="359"/>
      <c r="G2" s="359"/>
      <c r="H2" s="359"/>
      <c r="I2" s="359"/>
      <c r="J2" s="359"/>
      <c r="K2" s="229"/>
      <c r="L2" s="229"/>
      <c r="M2" s="229"/>
      <c r="N2" s="215"/>
      <c r="O2" s="215"/>
      <c r="P2" s="215"/>
      <c r="Q2" s="216"/>
      <c r="R2" s="216"/>
      <c r="S2" s="216"/>
      <c r="T2" s="216"/>
      <c r="U2" s="216"/>
      <c r="V2" s="216"/>
      <c r="W2" s="216"/>
      <c r="X2" s="216"/>
      <c r="Y2" s="216"/>
      <c r="Z2" s="216"/>
      <c r="AA2" s="216"/>
      <c r="AB2" s="216"/>
      <c r="AC2" s="216"/>
      <c r="AD2" s="216"/>
      <c r="AE2" s="216"/>
      <c r="AF2" s="216"/>
      <c r="AG2" s="216"/>
      <c r="AH2" s="216"/>
      <c r="AI2" s="216"/>
      <c r="AJ2" s="216"/>
      <c r="AK2" s="216"/>
      <c r="AL2" s="216"/>
    </row>
    <row r="3" spans="1:38" s="136" customFormat="1" ht="21" x14ac:dyDescent="0.25">
      <c r="A3" s="229"/>
      <c r="B3" s="359" t="s">
        <v>131</v>
      </c>
      <c r="C3" s="359"/>
      <c r="D3" s="359"/>
      <c r="E3" s="359"/>
      <c r="F3" s="359"/>
      <c r="G3" s="359"/>
      <c r="H3" s="359"/>
      <c r="I3" s="359"/>
      <c r="J3" s="359"/>
      <c r="K3" s="229"/>
      <c r="L3" s="229"/>
      <c r="M3" s="229"/>
      <c r="N3" s="215"/>
      <c r="O3" s="215"/>
      <c r="P3" s="215"/>
      <c r="Q3" s="216"/>
      <c r="R3" s="216"/>
      <c r="S3" s="216"/>
      <c r="T3" s="216"/>
      <c r="U3" s="216"/>
      <c r="V3" s="216"/>
      <c r="W3" s="216"/>
      <c r="X3" s="216"/>
      <c r="Y3" s="216"/>
      <c r="Z3" s="216"/>
      <c r="AA3" s="216"/>
      <c r="AB3" s="216"/>
      <c r="AC3" s="216"/>
      <c r="AD3" s="216"/>
      <c r="AE3" s="216"/>
      <c r="AF3" s="216"/>
      <c r="AG3" s="216"/>
      <c r="AH3" s="216"/>
      <c r="AI3" s="216"/>
      <c r="AJ3" s="216"/>
      <c r="AK3" s="216"/>
      <c r="AL3" s="216"/>
    </row>
    <row r="4" spans="1:38" s="136" customFormat="1" ht="6" customHeight="1" x14ac:dyDescent="0.25">
      <c r="A4" s="229"/>
      <c r="B4" s="229"/>
      <c r="C4" s="229"/>
      <c r="D4" s="229"/>
      <c r="E4" s="229"/>
      <c r="F4" s="229"/>
      <c r="G4" s="229"/>
      <c r="H4" s="229"/>
      <c r="I4" s="229"/>
      <c r="J4" s="229"/>
      <c r="K4" s="229"/>
      <c r="L4" s="229"/>
      <c r="M4" s="229"/>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row>
    <row r="5" spans="1:38" s="136" customFormat="1" ht="21" x14ac:dyDescent="0.25">
      <c r="A5" s="229"/>
      <c r="B5" s="229"/>
      <c r="C5" s="229"/>
      <c r="D5" s="229"/>
      <c r="E5" s="229"/>
      <c r="F5" s="422" t="s">
        <v>154</v>
      </c>
      <c r="G5" s="422"/>
      <c r="H5" s="422"/>
      <c r="I5" s="422"/>
      <c r="J5" s="422"/>
      <c r="K5" s="229"/>
      <c r="L5" s="332" t="s">
        <v>261</v>
      </c>
      <c r="M5" s="229"/>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1:38" s="137" customFormat="1" ht="18" customHeight="1" x14ac:dyDescent="0.25">
      <c r="A6" s="217"/>
      <c r="B6" s="403" t="s">
        <v>149</v>
      </c>
      <c r="C6" s="403"/>
      <c r="D6" s="403"/>
      <c r="E6" s="403"/>
      <c r="F6" s="403"/>
      <c r="G6" s="403"/>
      <c r="H6" s="403"/>
      <c r="I6" s="403"/>
      <c r="J6" s="403"/>
      <c r="K6" s="217"/>
      <c r="L6" s="326" t="s">
        <v>247</v>
      </c>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row>
    <row r="7" spans="1:38" s="137" customFormat="1" ht="14.25" customHeight="1" x14ac:dyDescent="0.25">
      <c r="A7" s="217"/>
      <c r="B7" s="403"/>
      <c r="C7" s="403"/>
      <c r="D7" s="403"/>
      <c r="E7" s="403"/>
      <c r="F7" s="403"/>
      <c r="G7" s="403"/>
      <c r="H7" s="403"/>
      <c r="I7" s="403"/>
      <c r="J7" s="403"/>
      <c r="K7" s="217"/>
      <c r="L7" s="352" t="s">
        <v>296</v>
      </c>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row>
    <row r="8" spans="1:38" s="137" customFormat="1" ht="14.25" customHeight="1" x14ac:dyDescent="0.25">
      <c r="A8" s="217"/>
      <c r="B8" s="403"/>
      <c r="C8" s="403"/>
      <c r="D8" s="403"/>
      <c r="E8" s="403"/>
      <c r="F8" s="403"/>
      <c r="G8" s="403"/>
      <c r="H8" s="403"/>
      <c r="I8" s="403"/>
      <c r="J8" s="403"/>
      <c r="K8" s="217"/>
      <c r="L8" s="352"/>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row>
    <row r="9" spans="1:38" s="137" customFormat="1" ht="8.25" customHeight="1" x14ac:dyDescent="0.25">
      <c r="A9" s="217"/>
      <c r="B9" s="147"/>
      <c r="C9" s="147"/>
      <c r="D9" s="147"/>
      <c r="E9" s="147"/>
      <c r="F9" s="147"/>
      <c r="G9" s="147"/>
      <c r="H9" s="147"/>
      <c r="I9" s="147"/>
      <c r="J9" s="147"/>
      <c r="K9" s="217"/>
      <c r="L9" s="352" t="s">
        <v>297</v>
      </c>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row>
    <row r="10" spans="1:38" s="137" customFormat="1" ht="14.25" customHeight="1" x14ac:dyDescent="0.25">
      <c r="A10" s="217"/>
      <c r="B10" s="386" t="str">
        <f>"Die Mindestbeitragsgrundlage (Werte "&amp;'Verknüpfungen 1'!A2&amp;") bei Beitragsberechnung auf Basis des Einheitswertes beträgt bei"</f>
        <v>Die Mindestbeitragsgrundlage (Werte 2024) bei Beitragsberechnung auf Basis des Einheitswertes beträgt bei</v>
      </c>
      <c r="C10" s="386"/>
      <c r="D10" s="386"/>
      <c r="E10" s="386"/>
      <c r="F10" s="386"/>
      <c r="G10" s="386"/>
      <c r="H10" s="386"/>
      <c r="I10" s="386"/>
      <c r="J10" s="386"/>
      <c r="K10" s="217"/>
      <c r="L10" s="352"/>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38" s="137" customFormat="1" ht="8.25" customHeight="1" x14ac:dyDescent="0.25">
      <c r="A11" s="217"/>
      <c r="B11" s="147"/>
      <c r="C11" s="147"/>
      <c r="D11" s="147"/>
      <c r="E11" s="147"/>
      <c r="F11" s="147"/>
      <c r="G11" s="147"/>
      <c r="H11" s="147"/>
      <c r="I11" s="147"/>
      <c r="J11" s="147"/>
      <c r="K11" s="217"/>
      <c r="L11" s="355" t="s">
        <v>287</v>
      </c>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row>
    <row r="12" spans="1:38" s="137" customFormat="1" ht="14.25" customHeight="1" x14ac:dyDescent="0.25">
      <c r="A12" s="217"/>
      <c r="B12" s="157" t="s">
        <v>151</v>
      </c>
      <c r="C12" s="423" t="s">
        <v>150</v>
      </c>
      <c r="D12" s="423"/>
      <c r="E12" s="423"/>
      <c r="F12" s="423"/>
      <c r="G12" s="423"/>
      <c r="H12" s="423"/>
      <c r="I12" s="423"/>
      <c r="J12" s="423"/>
      <c r="K12" s="217"/>
      <c r="L12" s="352"/>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row>
    <row r="13" spans="1:38" s="137" customFormat="1" ht="8.25" customHeight="1" x14ac:dyDescent="0.25">
      <c r="A13" s="217"/>
      <c r="B13" s="147"/>
      <c r="C13" s="147"/>
      <c r="D13" s="147"/>
      <c r="E13" s="147"/>
      <c r="F13" s="147"/>
      <c r="G13" s="147"/>
      <c r="H13" s="147"/>
      <c r="I13" s="147"/>
      <c r="J13" s="147"/>
      <c r="K13" s="217"/>
      <c r="L13" s="352"/>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row>
    <row r="14" spans="1:38" s="137" customFormat="1" ht="14.25" customHeight="1" x14ac:dyDescent="0.25">
      <c r="A14" s="217"/>
      <c r="B14" s="147"/>
      <c r="C14" s="384" t="str">
        <f>"Die Mindestbeitragsgrundlage beträgt in der "&amp;IF('Verknüpfungen 1'!A2&gt;2019,"Unfallversicherung","Kranken- und Unfallversicherung")&amp;" EUR "&amp;TEXT(VLOOKUP('Verknüpfungen 1'!A2,Wertedatenbank!A3:AC21,Wertedatenbank!C22),"# ###,00")&amp;" und entspricht einem Einheitswert von EUR "&amp;TEXT(VLOOKUP('Verknüpfungen 1'!A2,Wertedatenbank!A3:AC21,Wertedatenbank!W22),"# ###,00")&amp;". In der "&amp;IF('Verknüpfungen 1'!A2&gt;2019,"Pensionsversicherung und ab 2020 auch in der Krankenversicherung","Pensionsversicherung")&amp;" beträgt die Mindestbeitragsgrundlage EUR "&amp;TEXT(VLOOKUP('Verknüpfungen 1'!A2,Wertedatenbank!A3:AC21,Wertedatenbank!D22),"# ###,00")&amp;" und entspricht einem Einheitswert von EUR "&amp;TEXT(VLOOKUP('Verknüpfungen 1'!A2,Wertedatenbank!A3:AC21,Wertedatenbank!X22),"# ###,00")&amp;". Ein niedrigerer Einheitswert führt somit nicht zu einer niedrigeren Beitragsgrundlage bzw. zu einem niedrigeren Beitrag. Die genannten Einheitswerte stehen in keinem Zusammenhang mit der Einheitswertgrenze für die Pflichtversicherung."</f>
        <v>Die Mindestbeitragsgrundlage beträgt in der Unfallversicherung EUR  956,70 und entspricht einem Einheitswert von EUR 4 000,00. In der Pensionsversicherung und ab 2020 auch in der Krankenversicherung beträgt die Mindestbeitragsgrundlage EUR  518,44 und entspricht einem Einheitswert von EUR 2 200,00. Ein niedrigerer Einheitswert führt somit nicht zu einer niedrigeren Beitragsgrundlage bzw. zu einem niedrigeren Beitrag. Die genannten Einheitswerte stehen in keinem Zusammenhang mit der Einheitswertgrenze für die Pflichtversicherung.</v>
      </c>
      <c r="D14" s="384"/>
      <c r="E14" s="384"/>
      <c r="F14" s="384"/>
      <c r="G14" s="384"/>
      <c r="H14" s="384"/>
      <c r="I14" s="384"/>
      <c r="J14" s="384"/>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row>
    <row r="15" spans="1:38" s="137" customFormat="1" ht="14.25" customHeight="1" x14ac:dyDescent="0.25">
      <c r="A15" s="217"/>
      <c r="B15" s="138"/>
      <c r="C15" s="384"/>
      <c r="D15" s="384"/>
      <c r="E15" s="384"/>
      <c r="F15" s="384"/>
      <c r="G15" s="384"/>
      <c r="H15" s="384"/>
      <c r="I15" s="384"/>
      <c r="J15" s="384"/>
      <c r="K15" s="217"/>
      <c r="L15" s="243" t="s">
        <v>311</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row>
    <row r="16" spans="1:38" s="137" customFormat="1" ht="14.25" customHeight="1" x14ac:dyDescent="0.25">
      <c r="A16" s="217"/>
      <c r="B16" s="138"/>
      <c r="C16" s="384"/>
      <c r="D16" s="384"/>
      <c r="E16" s="384"/>
      <c r="F16" s="384"/>
      <c r="G16" s="384"/>
      <c r="H16" s="384"/>
      <c r="I16" s="384"/>
      <c r="J16" s="384"/>
      <c r="K16" s="217"/>
      <c r="L16" s="243" t="s">
        <v>310</v>
      </c>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row>
    <row r="17" spans="1:38" s="137" customFormat="1" ht="14.25" customHeight="1" x14ac:dyDescent="0.25">
      <c r="A17" s="217"/>
      <c r="B17" s="138"/>
      <c r="C17" s="384"/>
      <c r="D17" s="384"/>
      <c r="E17" s="384"/>
      <c r="F17" s="384"/>
      <c r="G17" s="384"/>
      <c r="H17" s="384"/>
      <c r="I17" s="384"/>
      <c r="J17" s="384"/>
      <c r="K17" s="217"/>
      <c r="L17" s="352" t="s">
        <v>323</v>
      </c>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row>
    <row r="18" spans="1:38" s="137" customFormat="1" ht="14.25" customHeight="1" x14ac:dyDescent="0.25">
      <c r="A18" s="217"/>
      <c r="B18" s="138"/>
      <c r="C18" s="138"/>
      <c r="D18" s="138"/>
      <c r="E18" s="138"/>
      <c r="F18" s="138"/>
      <c r="G18" s="138"/>
      <c r="H18" s="138"/>
      <c r="I18" s="138"/>
      <c r="J18" s="138"/>
      <c r="K18" s="217"/>
      <c r="L18" s="352"/>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row>
    <row r="19" spans="1:38" s="137" customFormat="1" ht="14.25" customHeight="1" x14ac:dyDescent="0.25">
      <c r="A19" s="217"/>
      <c r="B19" s="138"/>
      <c r="C19" s="384" t="str">
        <f>IF('Verknüpfungen 1'!A2&lt;2020,"Für ehepartnerschaftliche Betriebe, sofern beide Ehepartner in der Kranken- und Pensionsversicherung nach dem BSVG pflichtversichert sind, beträgt die Mindestbeitragsgrundlage in der Krankenversicherung EUR "&amp;TEXT(ROUND(VLOOKUP('Verknüpfungen 1'!A2,Wertedatenbank!A3:AC21,Wertedatenbank!C22)/2,2),"# ###,00")&amp;" und in der Pensionsversicherung EUR "&amp;TEXT(ROUND(VLOOKUP('Verknüpfungen 1'!A2,Wertedatenbank!A3:AC21,Wertedatenbank!D22)/2,2),"# ###,00")&amp;".","Für ehepartnerschaftliche Betriebe, sofern beide Ehepartner in der Kranken- und Pensionsversicherung nach dem BSVG pflichtversichert sind, beträgt die Mindestbeitragsgrundlage in der Kranken- und Pensionsversicherung EUR "&amp;TEXT(ROUND(VLOOKUP('Verknüpfungen 1'!A2,Wertedatenbank!A3:AC21,Wertedatenbank!D22)/2,2),"# ###,00")&amp;".")</f>
        <v>Für ehepartnerschaftliche Betriebe, sofern beide Ehepartner in der Kranken- und Pensionsversicherung nach dem BSVG pflichtversichert sind, beträgt die Mindestbeitragsgrundlage in der Kranken- und Pensionsversicherung EUR  259,22.</v>
      </c>
      <c r="D19" s="384"/>
      <c r="E19" s="384"/>
      <c r="F19" s="384"/>
      <c r="G19" s="384"/>
      <c r="H19" s="384"/>
      <c r="I19" s="384"/>
      <c r="J19" s="384"/>
      <c r="K19" s="217"/>
      <c r="L19" s="352" t="s">
        <v>257</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row>
    <row r="20" spans="1:38" s="137" customFormat="1" ht="14.25" customHeight="1" x14ac:dyDescent="0.25">
      <c r="A20" s="217"/>
      <c r="B20" s="138"/>
      <c r="C20" s="384"/>
      <c r="D20" s="384"/>
      <c r="E20" s="384"/>
      <c r="F20" s="384"/>
      <c r="G20" s="384"/>
      <c r="H20" s="384"/>
      <c r="I20" s="384"/>
      <c r="J20" s="384"/>
      <c r="K20" s="217"/>
      <c r="L20" s="352"/>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row>
    <row r="21" spans="1:38" s="137" customFormat="1" ht="14.25" customHeight="1" x14ac:dyDescent="0.25">
      <c r="A21" s="217"/>
      <c r="B21" s="138"/>
      <c r="C21" s="138"/>
      <c r="D21" s="138"/>
      <c r="E21" s="138"/>
      <c r="F21" s="138"/>
      <c r="G21" s="138"/>
      <c r="H21" s="138"/>
      <c r="I21" s="138"/>
      <c r="J21" s="138"/>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row>
    <row r="22" spans="1:38" s="137" customFormat="1" ht="14.25" customHeight="1" x14ac:dyDescent="0.25">
      <c r="A22" s="217"/>
      <c r="B22" s="157" t="s">
        <v>151</v>
      </c>
      <c r="C22" s="423" t="s">
        <v>152</v>
      </c>
      <c r="D22" s="423"/>
      <c r="E22" s="423"/>
      <c r="F22" s="423"/>
      <c r="G22" s="423"/>
      <c r="H22" s="423"/>
      <c r="I22" s="423"/>
      <c r="J22" s="423"/>
      <c r="K22" s="217"/>
      <c r="L22" s="243" t="s">
        <v>261</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row>
    <row r="23" spans="1:38" s="137" customFormat="1" ht="14.25" customHeight="1" x14ac:dyDescent="0.25">
      <c r="A23" s="217"/>
      <c r="B23" s="155"/>
      <c r="C23" s="155"/>
      <c r="D23" s="155"/>
      <c r="E23" s="155"/>
      <c r="F23" s="155"/>
      <c r="G23" s="155"/>
      <c r="H23" s="155"/>
      <c r="I23" s="155"/>
      <c r="J23" s="155"/>
      <c r="K23" s="217"/>
      <c r="L23" s="243" t="s">
        <v>309</v>
      </c>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row>
    <row r="24" spans="1:38" s="137" customFormat="1" ht="14.25" customHeight="1" x14ac:dyDescent="0.25">
      <c r="A24" s="217"/>
      <c r="B24" s="155"/>
      <c r="C24" s="398" t="str">
        <f>"Die Mindestbeitragsgrundlage für im elterlichen Betrieb hauptberuflich beschäftigte Kinder, sofern sie aufgrund dieser Beschäftigung nach dem BSVG versichert sind, beträgt in der Kranken- und Pensionsversicherung EUR "&amp;TEXT(VLOOKUP('Verknüpfungen 1'!A2,Wertedatenbank!A3:AC21,Wertedatenbank!D22),"# ###,00")&amp;". Für Ehepartner, die beide gleichzeitig als Kinder ( Kind und Schwiegerkind ) im elterlichen Betrieb hauptberuflich beschäftigt sind und aufgrund dieser Beschäftigung nach dem BSVG versichert sind, beträgt die Mindestbeitragsgrundlage in der Kranken-"&amp;"und Pensionsversicherung EUR "&amp;TEXT(ROUND(VLOOKUP('Verknüpfungen 1'!A2,Wertedatenbank!A3:AC21,Wertedatenbank!D22)/2,2),"# ###,00")&amp;" pro Person."</f>
        <v>Die Mindestbeitragsgrundlage für im elterlichen Betrieb hauptberuflich beschäftigte Kinder, sofern sie aufgrund dieser Beschäftigung nach dem BSVG versichert sind, beträgt in der Kranken- und Pensionsversicherung EUR  518,44. Für Ehepartner, die beide gleichzeitig als Kinder ( Kind und Schwiegerkind ) im elterlichen Betrieb hauptberuflich beschäftigt sind und aufgrund dieser Beschäftigung nach dem BSVG versichert sind, beträgt die Mindestbeitragsgrundlage in der Kranken-und Pensionsversicherung EUR  259,22 pro Person.</v>
      </c>
      <c r="D24" s="398"/>
      <c r="E24" s="398"/>
      <c r="F24" s="398"/>
      <c r="G24" s="398"/>
      <c r="H24" s="398"/>
      <c r="I24" s="398"/>
      <c r="J24" s="398"/>
      <c r="K24" s="217"/>
      <c r="L24" s="355" t="s">
        <v>260</v>
      </c>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row>
    <row r="25" spans="1:38" s="137" customFormat="1" ht="14.25" customHeight="1" x14ac:dyDescent="0.25">
      <c r="A25" s="217"/>
      <c r="B25" s="154"/>
      <c r="C25" s="398"/>
      <c r="D25" s="398"/>
      <c r="E25" s="398"/>
      <c r="F25" s="398"/>
      <c r="G25" s="398"/>
      <c r="H25" s="398"/>
      <c r="I25" s="398"/>
      <c r="J25" s="398"/>
      <c r="K25" s="217"/>
      <c r="L25" s="355"/>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row>
    <row r="26" spans="1:38" s="137" customFormat="1" ht="14.25" customHeight="1" x14ac:dyDescent="0.25">
      <c r="A26" s="217"/>
      <c r="B26" s="156"/>
      <c r="C26" s="398"/>
      <c r="D26" s="398"/>
      <c r="E26" s="398"/>
      <c r="F26" s="398"/>
      <c r="G26" s="398"/>
      <c r="H26" s="398"/>
      <c r="I26" s="398"/>
      <c r="J26" s="398"/>
      <c r="K26" s="217"/>
      <c r="L26" s="355"/>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row>
    <row r="27" spans="1:38" s="137" customFormat="1" ht="14.25" customHeight="1" x14ac:dyDescent="0.25">
      <c r="A27" s="217"/>
      <c r="B27" s="154"/>
      <c r="C27" s="398"/>
      <c r="D27" s="398"/>
      <c r="E27" s="398"/>
      <c r="F27" s="398"/>
      <c r="G27" s="398"/>
      <c r="H27" s="398"/>
      <c r="I27" s="398"/>
      <c r="J27" s="398"/>
      <c r="K27" s="217"/>
      <c r="L27" s="30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row>
    <row r="28" spans="1:38" s="137" customFormat="1" ht="14.25" customHeight="1" x14ac:dyDescent="0.25">
      <c r="A28" s="217"/>
      <c r="B28" s="138"/>
      <c r="C28" s="384"/>
      <c r="D28" s="384"/>
      <c r="E28" s="384"/>
      <c r="F28" s="384"/>
      <c r="G28" s="384"/>
      <c r="H28" s="384"/>
      <c r="I28" s="384"/>
      <c r="J28" s="384"/>
      <c r="K28" s="217"/>
      <c r="L28" s="30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row>
    <row r="29" spans="1:38" s="137" customFormat="1" ht="14.25" customHeight="1" x14ac:dyDescent="0.25">
      <c r="A29" s="217"/>
      <c r="B29" s="157" t="s">
        <v>151</v>
      </c>
      <c r="C29" s="423" t="s">
        <v>153</v>
      </c>
      <c r="D29" s="423"/>
      <c r="E29" s="423"/>
      <c r="F29" s="423"/>
      <c r="G29" s="423"/>
      <c r="H29" s="423"/>
      <c r="I29" s="423"/>
      <c r="J29" s="423"/>
      <c r="K29" s="217"/>
      <c r="L29" s="30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row>
    <row r="30" spans="1:38" s="137" customFormat="1" ht="14.25" customHeight="1" x14ac:dyDescent="0.25">
      <c r="A30" s="217"/>
      <c r="B30" s="155"/>
      <c r="C30" s="155"/>
      <c r="D30" s="155"/>
      <c r="E30" s="155"/>
      <c r="F30" s="155"/>
      <c r="G30" s="155"/>
      <c r="H30" s="155"/>
      <c r="I30" s="155"/>
      <c r="J30" s="155"/>
      <c r="K30" s="217"/>
      <c r="L30" s="30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row>
    <row r="31" spans="1:38" s="137" customFormat="1" ht="14.25" customHeight="1" x14ac:dyDescent="0.25">
      <c r="A31" s="217"/>
      <c r="B31" s="153"/>
      <c r="C31" s="384" t="str">
        <f>"Für einen Elternteil, welcher nach erfolgter Übergabe im Betrieb hauptberuflich beschäftigt ist, beträgt die Mindestbeitragsgrundlage in der Krankenversicherung             EUR "&amp;TEXT(ROUND(VLOOKUP('Verknüpfungen 1'!A2,Wertedatenbank!A3:AC21,Wertedatenbank!C22)/2,2),"# ###,00")&amp;" und in der Pensionsversicherung EUR "&amp;TEXT(ROUND(VLOOKUP('Verknüpfungen 1'!A2,Wertedatenbank!A3:AC21,Wertedatenbank!D22)/2,2),"# ###,00")&amp;"."</f>
        <v>Für einen Elternteil, welcher nach erfolgter Übergabe im Betrieb hauptberuflich beschäftigt ist, beträgt die Mindestbeitragsgrundlage in der Krankenversicherung             EUR  478,35 und in der Pensionsversicherung EUR  259,22.</v>
      </c>
      <c r="D31" s="384"/>
      <c r="E31" s="384"/>
      <c r="F31" s="384"/>
      <c r="G31" s="384"/>
      <c r="H31" s="384"/>
      <c r="I31" s="384"/>
      <c r="J31" s="384"/>
      <c r="K31" s="217"/>
      <c r="L31" s="30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row>
    <row r="32" spans="1:38" s="137" customFormat="1" ht="14.25" customHeight="1" x14ac:dyDescent="0.25">
      <c r="A32" s="217"/>
      <c r="B32" s="153"/>
      <c r="C32" s="384"/>
      <c r="D32" s="384"/>
      <c r="E32" s="384"/>
      <c r="F32" s="384"/>
      <c r="G32" s="384"/>
      <c r="H32" s="384"/>
      <c r="I32" s="384"/>
      <c r="J32" s="384"/>
      <c r="K32" s="217"/>
      <c r="L32" s="30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row>
    <row r="33" spans="1:38" s="137" customFormat="1" ht="14.25" customHeight="1" x14ac:dyDescent="0.25">
      <c r="A33" s="217"/>
      <c r="B33" s="153"/>
      <c r="C33" s="153"/>
      <c r="D33" s="153"/>
      <c r="E33" s="153"/>
      <c r="F33" s="153"/>
      <c r="G33" s="153"/>
      <c r="H33" s="153"/>
      <c r="I33" s="153"/>
      <c r="J33" s="153"/>
      <c r="K33" s="217"/>
      <c r="L33" s="30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row>
    <row r="34" spans="1:38" s="14" customFormat="1" ht="30" customHeight="1" x14ac:dyDescent="0.25">
      <c r="A34" s="219"/>
      <c r="B34" s="397" t="s">
        <v>298</v>
      </c>
      <c r="C34" s="397"/>
      <c r="D34" s="397"/>
      <c r="E34" s="397"/>
      <c r="F34" s="397"/>
      <c r="G34" s="397"/>
      <c r="H34" s="397"/>
      <c r="I34" s="397"/>
      <c r="J34" s="397"/>
      <c r="K34" s="219"/>
      <c r="L34" s="301"/>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row>
    <row r="35" spans="1:38" ht="45" customHeight="1" x14ac:dyDescent="0.25">
      <c r="A35" s="218"/>
      <c r="B35" s="218"/>
      <c r="C35" s="218"/>
      <c r="D35" s="218"/>
      <c r="E35" s="218"/>
      <c r="F35" s="218"/>
      <c r="G35" s="218"/>
      <c r="H35" s="218"/>
      <c r="I35" s="218"/>
      <c r="J35" s="220"/>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row>
    <row r="36" spans="1:38" ht="45" customHeight="1" x14ac:dyDescent="0.25">
      <c r="A36" s="218"/>
      <c r="B36" s="218"/>
      <c r="C36" s="218"/>
      <c r="D36" s="218"/>
      <c r="E36" s="218"/>
      <c r="F36" s="218"/>
      <c r="G36" s="218"/>
      <c r="H36" s="218"/>
      <c r="I36" s="218"/>
      <c r="J36" s="220"/>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row>
    <row r="37" spans="1:38" ht="45" customHeight="1" x14ac:dyDescent="0.25">
      <c r="A37" s="218"/>
      <c r="B37" s="218"/>
      <c r="C37" s="218"/>
      <c r="D37" s="218"/>
      <c r="E37" s="218"/>
      <c r="F37" s="218"/>
      <c r="G37" s="218"/>
      <c r="H37" s="218"/>
      <c r="I37" s="218"/>
      <c r="J37" s="220"/>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row>
    <row r="38" spans="1:38" ht="45" customHeight="1" x14ac:dyDescent="0.25">
      <c r="A38" s="218"/>
      <c r="B38" s="218"/>
      <c r="C38" s="218"/>
      <c r="D38" s="218"/>
      <c r="E38" s="218"/>
      <c r="F38" s="218"/>
      <c r="G38" s="218"/>
      <c r="H38" s="218"/>
      <c r="I38" s="218"/>
      <c r="J38" s="220"/>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row>
    <row r="39" spans="1:38" ht="45" customHeight="1" x14ac:dyDescent="0.25">
      <c r="A39" s="218"/>
      <c r="B39" s="218"/>
      <c r="C39" s="218"/>
      <c r="D39" s="218"/>
      <c r="E39" s="218"/>
      <c r="F39" s="218"/>
      <c r="G39" s="218"/>
      <c r="H39" s="218"/>
      <c r="I39" s="218"/>
      <c r="J39" s="220"/>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row>
    <row r="40" spans="1:38" ht="45" customHeight="1" x14ac:dyDescent="0.25">
      <c r="A40" s="218"/>
      <c r="B40" s="218"/>
      <c r="C40" s="218"/>
      <c r="D40" s="218"/>
      <c r="E40" s="218"/>
      <c r="F40" s="218"/>
      <c r="G40" s="218"/>
      <c r="H40" s="218"/>
      <c r="I40" s="218"/>
      <c r="J40" s="220"/>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row>
    <row r="41" spans="1:38" ht="45" customHeight="1" x14ac:dyDescent="0.25">
      <c r="A41" s="218"/>
      <c r="B41" s="218"/>
      <c r="C41" s="218"/>
      <c r="D41" s="218"/>
      <c r="E41" s="218"/>
      <c r="F41" s="218"/>
      <c r="G41" s="218"/>
      <c r="H41" s="218"/>
      <c r="I41" s="218"/>
      <c r="J41" s="220"/>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row>
    <row r="42" spans="1:38" ht="45" customHeight="1" x14ac:dyDescent="0.25">
      <c r="A42" s="218"/>
      <c r="B42" s="218"/>
      <c r="C42" s="218"/>
      <c r="D42" s="218"/>
      <c r="E42" s="218"/>
      <c r="F42" s="218"/>
      <c r="G42" s="218"/>
      <c r="H42" s="218"/>
      <c r="I42" s="218"/>
      <c r="J42" s="220"/>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row>
    <row r="43" spans="1:38" ht="45" customHeight="1" x14ac:dyDescent="0.25">
      <c r="A43" s="218"/>
      <c r="B43" s="218"/>
      <c r="C43" s="218"/>
      <c r="D43" s="218"/>
      <c r="E43" s="218"/>
      <c r="F43" s="218"/>
      <c r="G43" s="218"/>
      <c r="H43" s="218"/>
      <c r="I43" s="218"/>
      <c r="J43" s="220"/>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row>
    <row r="44" spans="1:38" ht="45" customHeight="1" x14ac:dyDescent="0.25">
      <c r="A44" s="218"/>
      <c r="B44" s="218"/>
      <c r="C44" s="218"/>
      <c r="D44" s="218"/>
      <c r="E44" s="218"/>
      <c r="F44" s="218"/>
      <c r="G44" s="218"/>
      <c r="H44" s="218"/>
      <c r="I44" s="218"/>
      <c r="J44" s="220"/>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row>
    <row r="45" spans="1:38" ht="45" customHeight="1" x14ac:dyDescent="0.25">
      <c r="A45" s="218"/>
      <c r="B45" s="218"/>
      <c r="C45" s="218"/>
      <c r="D45" s="218"/>
      <c r="E45" s="218"/>
      <c r="F45" s="218"/>
      <c r="G45" s="218"/>
      <c r="H45" s="218"/>
      <c r="I45" s="218"/>
      <c r="J45" s="220"/>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row>
    <row r="46" spans="1:38" ht="45" customHeight="1" x14ac:dyDescent="0.25">
      <c r="A46" s="218"/>
      <c r="B46" s="218"/>
      <c r="C46" s="218"/>
      <c r="D46" s="218"/>
      <c r="E46" s="218"/>
      <c r="F46" s="218"/>
      <c r="G46" s="218"/>
      <c r="H46" s="218"/>
      <c r="I46" s="218"/>
      <c r="J46" s="220"/>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row>
    <row r="47" spans="1:38" ht="45" customHeight="1" x14ac:dyDescent="0.25">
      <c r="A47" s="218"/>
      <c r="B47" s="218"/>
      <c r="C47" s="218"/>
      <c r="D47" s="218"/>
      <c r="E47" s="218"/>
      <c r="F47" s="218"/>
      <c r="G47" s="218"/>
      <c r="H47" s="218"/>
      <c r="I47" s="218"/>
      <c r="J47" s="220"/>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row>
    <row r="48" spans="1:38" ht="45" customHeight="1" x14ac:dyDescent="0.25">
      <c r="A48" s="218"/>
      <c r="B48" s="218"/>
      <c r="C48" s="218"/>
      <c r="D48" s="218"/>
      <c r="E48" s="218"/>
      <c r="F48" s="218"/>
      <c r="G48" s="218"/>
      <c r="H48" s="218"/>
      <c r="I48" s="218"/>
      <c r="J48" s="220"/>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row>
    <row r="49" spans="1:38" ht="45" customHeight="1" x14ac:dyDescent="0.25">
      <c r="A49" s="218"/>
      <c r="B49" s="218"/>
      <c r="C49" s="218"/>
      <c r="D49" s="218"/>
      <c r="E49" s="218"/>
      <c r="F49" s="218"/>
      <c r="G49" s="218"/>
      <c r="H49" s="218"/>
      <c r="I49" s="218"/>
      <c r="J49" s="220"/>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row>
    <row r="50" spans="1:38" ht="45" customHeight="1" x14ac:dyDescent="0.25">
      <c r="A50" s="218"/>
      <c r="B50" s="218"/>
      <c r="C50" s="218"/>
      <c r="D50" s="218"/>
      <c r="E50" s="218"/>
      <c r="F50" s="218"/>
      <c r="G50" s="218"/>
      <c r="H50" s="218"/>
      <c r="I50" s="218"/>
      <c r="J50" s="220"/>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row>
    <row r="51" spans="1:38" ht="45" customHeight="1" x14ac:dyDescent="0.25">
      <c r="A51" s="218"/>
      <c r="B51" s="218"/>
      <c r="C51" s="218"/>
      <c r="D51" s="218"/>
      <c r="E51" s="218"/>
      <c r="F51" s="218"/>
      <c r="G51" s="218"/>
      <c r="H51" s="218"/>
      <c r="I51" s="218"/>
      <c r="J51" s="220"/>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row>
    <row r="52" spans="1:38" ht="45" customHeight="1" x14ac:dyDescent="0.25">
      <c r="A52" s="218"/>
      <c r="B52" s="218"/>
      <c r="C52" s="218"/>
      <c r="D52" s="218"/>
      <c r="E52" s="218"/>
      <c r="F52" s="218"/>
      <c r="G52" s="218"/>
      <c r="H52" s="218"/>
      <c r="I52" s="218"/>
      <c r="J52" s="220"/>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row>
    <row r="53" spans="1:38" ht="45" customHeight="1" x14ac:dyDescent="0.25">
      <c r="A53" s="218"/>
      <c r="B53" s="218"/>
      <c r="C53" s="218"/>
      <c r="D53" s="218"/>
      <c r="E53" s="218"/>
      <c r="F53" s="218"/>
      <c r="G53" s="218"/>
      <c r="H53" s="218"/>
      <c r="I53" s="218"/>
      <c r="J53" s="220"/>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row>
    <row r="54" spans="1:38" ht="45" customHeight="1" x14ac:dyDescent="0.25">
      <c r="A54" s="218"/>
      <c r="B54" s="218"/>
      <c r="C54" s="218"/>
      <c r="D54" s="218"/>
      <c r="E54" s="218"/>
      <c r="F54" s="218"/>
      <c r="G54" s="218"/>
      <c r="H54" s="218"/>
      <c r="I54" s="218"/>
      <c r="J54" s="220"/>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row>
    <row r="55" spans="1:38" ht="45" customHeight="1" x14ac:dyDescent="0.25">
      <c r="A55" s="218"/>
      <c r="B55" s="218"/>
      <c r="C55" s="218"/>
      <c r="D55" s="218"/>
      <c r="E55" s="218"/>
      <c r="F55" s="218"/>
      <c r="G55" s="218"/>
      <c r="H55" s="218"/>
      <c r="I55" s="218"/>
      <c r="J55" s="220"/>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row>
    <row r="56" spans="1:38" ht="45" customHeight="1" x14ac:dyDescent="0.25">
      <c r="A56" s="218"/>
      <c r="B56" s="218"/>
      <c r="C56" s="218"/>
      <c r="D56" s="218"/>
      <c r="E56" s="218"/>
      <c r="F56" s="218"/>
      <c r="G56" s="218"/>
      <c r="H56" s="218"/>
      <c r="I56" s="218"/>
      <c r="J56" s="220"/>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row>
    <row r="57" spans="1:38" ht="45" customHeight="1" x14ac:dyDescent="0.25">
      <c r="A57" s="218"/>
      <c r="B57" s="218"/>
      <c r="C57" s="218"/>
      <c r="D57" s="218"/>
      <c r="E57" s="218"/>
      <c r="F57" s="218"/>
      <c r="G57" s="218"/>
      <c r="H57" s="218"/>
      <c r="I57" s="218"/>
      <c r="J57" s="220"/>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row>
    <row r="58" spans="1:38" ht="45" customHeight="1" x14ac:dyDescent="0.25">
      <c r="A58" s="218"/>
      <c r="B58" s="218"/>
      <c r="C58" s="218"/>
      <c r="D58" s="218"/>
      <c r="E58" s="218"/>
      <c r="F58" s="218"/>
      <c r="G58" s="218"/>
      <c r="H58" s="218"/>
      <c r="I58" s="218"/>
      <c r="J58" s="220"/>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row>
    <row r="59" spans="1:38" ht="45" customHeight="1" x14ac:dyDescent="0.25">
      <c r="A59" s="218"/>
      <c r="B59" s="218"/>
      <c r="C59" s="218"/>
      <c r="D59" s="218"/>
      <c r="E59" s="218"/>
      <c r="F59" s="218"/>
      <c r="G59" s="218"/>
      <c r="H59" s="218"/>
      <c r="I59" s="218"/>
      <c r="J59" s="220"/>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row>
    <row r="60" spans="1:38" ht="45" customHeight="1" x14ac:dyDescent="0.25">
      <c r="A60" s="218"/>
      <c r="B60" s="218"/>
      <c r="C60" s="218"/>
      <c r="D60" s="218"/>
      <c r="E60" s="218"/>
      <c r="F60" s="218"/>
      <c r="G60" s="218"/>
      <c r="H60" s="218"/>
      <c r="I60" s="218"/>
      <c r="J60" s="220"/>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row>
    <row r="61" spans="1:38" ht="45" customHeight="1" x14ac:dyDescent="0.25"/>
    <row r="62" spans="1:38" ht="45" customHeight="1" x14ac:dyDescent="0.25"/>
    <row r="63" spans="1:38" ht="45" customHeight="1" x14ac:dyDescent="0.25"/>
    <row r="64" spans="1:38" ht="45" customHeight="1" x14ac:dyDescent="0.25"/>
    <row r="65" ht="45" customHeight="1" x14ac:dyDescent="0.25"/>
    <row r="66" ht="45" customHeight="1" x14ac:dyDescent="0.25"/>
    <row r="67" ht="45" customHeight="1" x14ac:dyDescent="0.25"/>
    <row r="68" ht="45" customHeight="1" x14ac:dyDescent="0.25"/>
    <row r="69" ht="45" customHeight="1" x14ac:dyDescent="0.25"/>
    <row r="70" ht="45" customHeight="1" x14ac:dyDescent="0.25"/>
    <row r="71" ht="45" customHeight="1" x14ac:dyDescent="0.25"/>
    <row r="72" ht="45" customHeight="1" x14ac:dyDescent="0.25"/>
    <row r="73" ht="45" customHeight="1" x14ac:dyDescent="0.25"/>
    <row r="74" ht="45" customHeight="1" x14ac:dyDescent="0.25"/>
    <row r="75" ht="45" customHeight="1" x14ac:dyDescent="0.25"/>
    <row r="76" ht="45" customHeight="1" x14ac:dyDescent="0.25"/>
    <row r="77" ht="45" customHeight="1" x14ac:dyDescent="0.25"/>
    <row r="78" ht="45" customHeight="1" x14ac:dyDescent="0.25"/>
    <row r="79" ht="45" customHeight="1" x14ac:dyDescent="0.25"/>
    <row r="80" ht="45" customHeight="1" x14ac:dyDescent="0.25"/>
    <row r="81" ht="45" customHeight="1" x14ac:dyDescent="0.25"/>
    <row r="82" ht="45" customHeight="1" x14ac:dyDescent="0.25"/>
    <row r="83" ht="45" customHeight="1" x14ac:dyDescent="0.25"/>
  </sheetData>
  <mergeCells count="20">
    <mergeCell ref="L7:L8"/>
    <mergeCell ref="L9:L10"/>
    <mergeCell ref="L11:L13"/>
    <mergeCell ref="L17:L18"/>
    <mergeCell ref="L19:L20"/>
    <mergeCell ref="L24:L26"/>
    <mergeCell ref="B34:J34"/>
    <mergeCell ref="C28:J28"/>
    <mergeCell ref="C24:J27"/>
    <mergeCell ref="C29:J29"/>
    <mergeCell ref="C31:J32"/>
    <mergeCell ref="C14:J17"/>
    <mergeCell ref="B2:J2"/>
    <mergeCell ref="B3:J3"/>
    <mergeCell ref="F5:J5"/>
    <mergeCell ref="C22:J22"/>
    <mergeCell ref="B10:J10"/>
    <mergeCell ref="C12:J12"/>
    <mergeCell ref="C19:J20"/>
    <mergeCell ref="B6:J8"/>
  </mergeCells>
  <phoneticPr fontId="6" type="noConversion"/>
  <conditionalFormatting sqref="L11:L13">
    <cfRule type="expression" dxfId="6" priority="1" stopIfTrue="1">
      <formula>IF($AY$1=1,TRUE,FALSE)</formula>
    </cfRule>
  </conditionalFormatting>
  <hyperlinks>
    <hyperlink ref="L11:L12" location="Pacht!A1" display="Zu-/Verpachtung bzw. Zu-/Verkauf"/>
    <hyperlink ref="L9:L10" location="'Internetfenster 2'!F6" display="Vergleichsbetrieb à"/>
    <hyperlink ref="L7:L8" location="'Internetfenster 1'!A1" display="Ausgangsbetrieb à"/>
    <hyperlink ref="L17:L18" location="EHW!A1" display="Heranzuziehender Einheitswert à"/>
    <hyperlink ref="L19" location="'Beiträge NT'!A1" display="Beiträge aus Nebentätigkeiten à"/>
    <hyperlink ref="L24" location="Angehörige!I5" display="Angehörige!I5"/>
  </hyperlinks>
  <printOptions horizontalCentered="1"/>
  <pageMargins left="0.59055118110236227" right="0.59055118110236227" top="0.59055118110236227" bottom="0.59055118110236227" header="0.51181102362204722" footer="0.51181102362204722"/>
  <pageSetup paperSize="9" scale="88" orientation="landscape" r:id="rId1"/>
  <headerFooter alignWithMargins="0">
    <oddFooter>&amp;L&amp;8SVB-Beitragsberechnungsprogramm&amp;C&amp;8Bitte beachten: Die ermittelten Ergebnisse dienen lediglich der Information und sind unverbindlich!&amp;R&amp;8&amp;D</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AJ85"/>
  <sheetViews>
    <sheetView showGridLines="0" zoomScaleNormal="100" workbookViewId="0">
      <selection activeCell="L19" sqref="L19:L20"/>
    </sheetView>
  </sheetViews>
  <sheetFormatPr baseColWidth="10" defaultColWidth="11" defaultRowHeight="13.8" x14ac:dyDescent="0.25"/>
  <cols>
    <col min="1" max="1" width="11" style="134"/>
    <col min="2" max="2" width="3" style="134" customWidth="1"/>
    <col min="3" max="3" width="17.59765625" style="134" customWidth="1"/>
    <col min="4" max="6" width="19.59765625" style="134" customWidth="1"/>
    <col min="7" max="8" width="14.8984375" style="134" customWidth="1"/>
    <col min="9" max="9" width="17.8984375" style="134" customWidth="1"/>
    <col min="10" max="10" width="11.8984375" style="135" customWidth="1"/>
    <col min="11" max="11" width="4.09765625" style="134" customWidth="1"/>
    <col min="12" max="12" width="30.59765625" style="134" customWidth="1"/>
    <col min="13" max="13" width="11" style="134"/>
    <col min="14" max="16" width="13.69921875" style="134" customWidth="1"/>
    <col min="17" max="16384" width="11" style="134"/>
  </cols>
  <sheetData>
    <row r="1" spans="1:36" x14ac:dyDescent="0.25">
      <c r="A1" s="228"/>
      <c r="B1" s="228"/>
      <c r="C1" s="228"/>
      <c r="D1" s="228"/>
      <c r="E1" s="228"/>
      <c r="F1" s="228"/>
      <c r="G1" s="228"/>
      <c r="H1" s="228"/>
      <c r="I1" s="228"/>
      <c r="J1" s="242"/>
      <c r="K1" s="228"/>
      <c r="L1" s="228"/>
      <c r="M1" s="228"/>
      <c r="N1" s="213"/>
      <c r="O1" s="213"/>
      <c r="P1" s="213"/>
      <c r="Q1" s="218"/>
      <c r="R1" s="218"/>
      <c r="S1" s="218"/>
      <c r="T1" s="218"/>
      <c r="U1" s="218"/>
      <c r="V1" s="218"/>
      <c r="W1" s="218"/>
      <c r="X1" s="218"/>
      <c r="Y1" s="218"/>
      <c r="Z1" s="218"/>
      <c r="AA1" s="218"/>
      <c r="AB1" s="218"/>
      <c r="AC1" s="218"/>
      <c r="AD1" s="218"/>
      <c r="AE1" s="218"/>
      <c r="AF1" s="218"/>
      <c r="AG1" s="218"/>
      <c r="AH1" s="218"/>
      <c r="AI1" s="218"/>
      <c r="AJ1" s="218"/>
    </row>
    <row r="2" spans="1:36" s="136" customFormat="1" ht="21" x14ac:dyDescent="0.25">
      <c r="A2" s="229"/>
      <c r="B2" s="359" t="s">
        <v>231</v>
      </c>
      <c r="C2" s="359"/>
      <c r="D2" s="359"/>
      <c r="E2" s="359"/>
      <c r="F2" s="359"/>
      <c r="G2" s="359"/>
      <c r="H2" s="359"/>
      <c r="I2" s="359"/>
      <c r="J2" s="359"/>
      <c r="K2" s="229"/>
      <c r="L2" s="229"/>
      <c r="M2" s="229"/>
      <c r="N2" s="215"/>
      <c r="O2" s="215"/>
      <c r="P2" s="215"/>
      <c r="Q2" s="216"/>
      <c r="R2" s="216"/>
      <c r="S2" s="216"/>
      <c r="T2" s="216"/>
      <c r="U2" s="216"/>
      <c r="V2" s="216"/>
      <c r="W2" s="216"/>
      <c r="X2" s="216"/>
      <c r="Y2" s="216"/>
      <c r="Z2" s="216"/>
      <c r="AA2" s="216"/>
      <c r="AB2" s="216"/>
      <c r="AC2" s="216"/>
      <c r="AD2" s="216"/>
      <c r="AE2" s="216"/>
      <c r="AF2" s="216"/>
      <c r="AG2" s="216"/>
      <c r="AH2" s="216"/>
      <c r="AI2" s="216"/>
      <c r="AJ2" s="216"/>
    </row>
    <row r="3" spans="1:36" s="136" customFormat="1" ht="21" x14ac:dyDescent="0.25">
      <c r="A3" s="229"/>
      <c r="B3" s="359" t="s">
        <v>131</v>
      </c>
      <c r="C3" s="359"/>
      <c r="D3" s="359"/>
      <c r="E3" s="359"/>
      <c r="F3" s="359"/>
      <c r="G3" s="359"/>
      <c r="H3" s="359"/>
      <c r="I3" s="359"/>
      <c r="J3" s="359"/>
      <c r="K3" s="229"/>
      <c r="L3" s="229"/>
      <c r="M3" s="229"/>
      <c r="N3" s="215"/>
      <c r="O3" s="215"/>
      <c r="P3" s="215"/>
      <c r="Q3" s="216"/>
      <c r="R3" s="216"/>
      <c r="S3" s="216"/>
      <c r="T3" s="216"/>
      <c r="U3" s="216"/>
      <c r="V3" s="216"/>
      <c r="W3" s="216"/>
      <c r="X3" s="216"/>
      <c r="Y3" s="216"/>
      <c r="Z3" s="216"/>
      <c r="AA3" s="216"/>
      <c r="AB3" s="216"/>
      <c r="AC3" s="216"/>
      <c r="AD3" s="216"/>
      <c r="AE3" s="216"/>
      <c r="AF3" s="216"/>
      <c r="AG3" s="216"/>
      <c r="AH3" s="216"/>
      <c r="AI3" s="216"/>
      <c r="AJ3" s="216"/>
    </row>
    <row r="4" spans="1:36" s="136" customFormat="1" ht="6" customHeight="1" x14ac:dyDescent="0.25">
      <c r="A4" s="229"/>
      <c r="B4" s="229"/>
      <c r="C4" s="229"/>
      <c r="D4" s="229"/>
      <c r="E4" s="229"/>
      <c r="F4" s="229"/>
      <c r="G4" s="229"/>
      <c r="H4" s="229"/>
      <c r="I4" s="229"/>
      <c r="J4" s="229"/>
      <c r="K4" s="229"/>
      <c r="L4" s="229"/>
      <c r="M4" s="229"/>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36" s="136" customFormat="1" ht="21" x14ac:dyDescent="0.25">
      <c r="A5" s="229"/>
      <c r="B5" s="229"/>
      <c r="C5" s="229"/>
      <c r="D5" s="229"/>
      <c r="E5" s="229"/>
      <c r="F5" s="422" t="s">
        <v>9</v>
      </c>
      <c r="G5" s="422"/>
      <c r="H5" s="422"/>
      <c r="I5" s="422"/>
      <c r="J5" s="422"/>
      <c r="K5" s="229"/>
      <c r="L5" s="332" t="s">
        <v>261</v>
      </c>
      <c r="M5" s="229"/>
      <c r="N5" s="216"/>
      <c r="O5" s="216"/>
      <c r="P5" s="216"/>
      <c r="Q5" s="216"/>
      <c r="R5" s="216"/>
      <c r="S5" s="216"/>
      <c r="T5" s="216"/>
      <c r="U5" s="216"/>
      <c r="V5" s="216"/>
      <c r="W5" s="216"/>
      <c r="X5" s="216"/>
      <c r="Y5" s="216"/>
      <c r="Z5" s="216"/>
      <c r="AA5" s="216"/>
      <c r="AB5" s="216"/>
      <c r="AC5" s="216"/>
      <c r="AD5" s="216"/>
      <c r="AE5" s="216"/>
      <c r="AF5" s="216"/>
      <c r="AG5" s="216"/>
      <c r="AH5" s="216"/>
      <c r="AI5" s="216"/>
      <c r="AJ5" s="216"/>
    </row>
    <row r="6" spans="1:36" s="137" customFormat="1" ht="18" customHeight="1" x14ac:dyDescent="0.25">
      <c r="A6" s="217"/>
      <c r="B6" s="403" t="s">
        <v>324</v>
      </c>
      <c r="C6" s="403"/>
      <c r="D6" s="403"/>
      <c r="E6" s="403"/>
      <c r="F6" s="403"/>
      <c r="G6" s="403"/>
      <c r="H6" s="403"/>
      <c r="I6" s="403"/>
      <c r="J6" s="403"/>
      <c r="K6" s="217"/>
      <c r="L6" s="326" t="s">
        <v>247</v>
      </c>
      <c r="M6" s="217"/>
      <c r="N6" s="217"/>
      <c r="O6" s="217"/>
      <c r="P6" s="217"/>
      <c r="Q6" s="217"/>
      <c r="R6" s="217"/>
      <c r="S6" s="217"/>
      <c r="T6" s="217"/>
      <c r="U6" s="217"/>
      <c r="V6" s="217"/>
      <c r="W6" s="217"/>
      <c r="X6" s="217"/>
      <c r="Y6" s="217"/>
      <c r="Z6" s="217"/>
      <c r="AA6" s="217"/>
      <c r="AB6" s="217"/>
      <c r="AC6" s="217"/>
      <c r="AD6" s="217"/>
      <c r="AE6" s="217"/>
      <c r="AF6" s="217"/>
      <c r="AG6" s="217"/>
      <c r="AH6" s="217"/>
      <c r="AI6" s="217"/>
      <c r="AJ6" s="217"/>
    </row>
    <row r="7" spans="1:36" s="137" customFormat="1" ht="14.25" customHeight="1" x14ac:dyDescent="0.25">
      <c r="A7" s="217"/>
      <c r="B7" s="403"/>
      <c r="C7" s="403"/>
      <c r="D7" s="403"/>
      <c r="E7" s="403"/>
      <c r="F7" s="403"/>
      <c r="G7" s="403"/>
      <c r="H7" s="403"/>
      <c r="I7" s="403"/>
      <c r="J7" s="403"/>
      <c r="K7" s="217"/>
      <c r="L7" s="352" t="s">
        <v>296</v>
      </c>
      <c r="M7" s="217"/>
      <c r="N7" s="217"/>
      <c r="O7" s="217"/>
      <c r="P7" s="217"/>
      <c r="Q7" s="217"/>
      <c r="R7" s="217"/>
      <c r="S7" s="217"/>
      <c r="T7" s="217"/>
      <c r="U7" s="217"/>
      <c r="V7" s="217"/>
      <c r="W7" s="217"/>
      <c r="X7" s="217"/>
      <c r="Y7" s="217"/>
      <c r="Z7" s="217"/>
      <c r="AA7" s="217"/>
      <c r="AB7" s="217"/>
      <c r="AC7" s="217"/>
      <c r="AD7" s="217"/>
      <c r="AE7" s="217"/>
      <c r="AF7" s="217"/>
      <c r="AG7" s="217"/>
      <c r="AH7" s="217"/>
      <c r="AI7" s="217"/>
      <c r="AJ7" s="217"/>
    </row>
    <row r="8" spans="1:36" s="137" customFormat="1" ht="14.25" customHeight="1" x14ac:dyDescent="0.25">
      <c r="A8" s="217"/>
      <c r="B8" s="403"/>
      <c r="C8" s="403"/>
      <c r="D8" s="403"/>
      <c r="E8" s="403"/>
      <c r="F8" s="403"/>
      <c r="G8" s="403"/>
      <c r="H8" s="403"/>
      <c r="I8" s="403"/>
      <c r="J8" s="403"/>
      <c r="K8" s="217"/>
      <c r="L8" s="352"/>
      <c r="M8" s="217"/>
      <c r="N8" s="217"/>
      <c r="O8" s="217"/>
      <c r="P8" s="217"/>
      <c r="Q8" s="217"/>
      <c r="R8" s="217"/>
      <c r="S8" s="217"/>
      <c r="T8" s="217"/>
      <c r="U8" s="217"/>
      <c r="V8" s="217"/>
      <c r="W8" s="217"/>
      <c r="X8" s="217"/>
      <c r="Y8" s="217"/>
      <c r="Z8" s="217"/>
      <c r="AA8" s="217"/>
      <c r="AB8" s="217"/>
      <c r="AC8" s="217"/>
      <c r="AD8" s="217"/>
      <c r="AE8" s="217"/>
      <c r="AF8" s="217"/>
      <c r="AG8" s="217"/>
      <c r="AH8" s="217"/>
      <c r="AI8" s="217"/>
      <c r="AJ8" s="217"/>
    </row>
    <row r="9" spans="1:36" s="137" customFormat="1" ht="14.25" customHeight="1" x14ac:dyDescent="0.25">
      <c r="A9" s="217"/>
      <c r="B9" s="403"/>
      <c r="C9" s="403"/>
      <c r="D9" s="403"/>
      <c r="E9" s="403"/>
      <c r="F9" s="403"/>
      <c r="G9" s="403"/>
      <c r="H9" s="403"/>
      <c r="I9" s="403"/>
      <c r="J9" s="403"/>
      <c r="K9" s="217"/>
      <c r="L9" s="352" t="s">
        <v>297</v>
      </c>
      <c r="M9" s="217"/>
      <c r="N9" s="217"/>
      <c r="O9" s="217"/>
      <c r="P9" s="217"/>
      <c r="Q9" s="217"/>
      <c r="R9" s="217"/>
      <c r="S9" s="217"/>
      <c r="T9" s="217"/>
      <c r="U9" s="217"/>
      <c r="V9" s="217"/>
      <c r="W9" s="217"/>
      <c r="X9" s="217"/>
      <c r="Y9" s="217"/>
      <c r="Z9" s="217"/>
      <c r="AA9" s="217"/>
      <c r="AB9" s="217"/>
      <c r="AC9" s="217"/>
      <c r="AD9" s="217"/>
      <c r="AE9" s="217"/>
      <c r="AF9" s="217"/>
      <c r="AG9" s="217"/>
      <c r="AH9" s="217"/>
      <c r="AI9" s="217"/>
      <c r="AJ9" s="217"/>
    </row>
    <row r="10" spans="1:36" s="137" customFormat="1" ht="8.25" customHeight="1" x14ac:dyDescent="0.25">
      <c r="A10" s="217"/>
      <c r="B10" s="147"/>
      <c r="C10" s="147"/>
      <c r="D10" s="147"/>
      <c r="E10" s="147"/>
      <c r="F10" s="147"/>
      <c r="G10" s="147"/>
      <c r="H10" s="147"/>
      <c r="I10" s="147"/>
      <c r="J10" s="147"/>
      <c r="K10" s="217"/>
      <c r="L10" s="352"/>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row>
    <row r="11" spans="1:36" s="137" customFormat="1" ht="14.25" customHeight="1" x14ac:dyDescent="0.25">
      <c r="A11" s="217"/>
      <c r="B11" s="386" t="str">
        <f>"Die Höchstbeitragsgrundlage (Werte "&amp;'Verknüpfungen 1'!A2&amp;") bei Beitragsberechnung auf Basis des Einheitswertes beträgt bei"</f>
        <v>Die Höchstbeitragsgrundlage (Werte 2024) bei Beitragsberechnung auf Basis des Einheitswertes beträgt bei</v>
      </c>
      <c r="C11" s="386"/>
      <c r="D11" s="386"/>
      <c r="E11" s="386"/>
      <c r="F11" s="386"/>
      <c r="G11" s="386"/>
      <c r="H11" s="386"/>
      <c r="I11" s="386"/>
      <c r="J11" s="386"/>
      <c r="K11" s="217"/>
      <c r="L11" s="355" t="s">
        <v>287</v>
      </c>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row>
    <row r="12" spans="1:36" s="137" customFormat="1" ht="8.25" customHeight="1" x14ac:dyDescent="0.25">
      <c r="A12" s="217"/>
      <c r="B12" s="147"/>
      <c r="C12" s="147"/>
      <c r="D12" s="147"/>
      <c r="E12" s="147"/>
      <c r="F12" s="147"/>
      <c r="G12" s="147"/>
      <c r="H12" s="147"/>
      <c r="I12" s="147"/>
      <c r="J12" s="147"/>
      <c r="K12" s="217"/>
      <c r="L12" s="352"/>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row>
    <row r="13" spans="1:36" s="137" customFormat="1" ht="14.25" customHeight="1" x14ac:dyDescent="0.25">
      <c r="A13" s="217"/>
      <c r="B13" s="157" t="s">
        <v>151</v>
      </c>
      <c r="C13" s="423" t="s">
        <v>150</v>
      </c>
      <c r="D13" s="423"/>
      <c r="E13" s="423"/>
      <c r="F13" s="423"/>
      <c r="G13" s="423"/>
      <c r="H13" s="423"/>
      <c r="I13" s="423"/>
      <c r="J13" s="423"/>
      <c r="K13" s="217"/>
      <c r="L13" s="352"/>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row>
    <row r="14" spans="1:36" s="137" customFormat="1" ht="14.25" customHeight="1" x14ac:dyDescent="0.25">
      <c r="A14" s="217"/>
      <c r="B14" s="147"/>
      <c r="C14" s="147"/>
      <c r="D14" s="147"/>
      <c r="E14" s="147"/>
      <c r="F14" s="147"/>
      <c r="G14" s="147"/>
      <c r="H14" s="147"/>
      <c r="I14" s="147"/>
      <c r="J14" s="14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row>
    <row r="15" spans="1:36" s="137" customFormat="1" ht="14.25" customHeight="1" x14ac:dyDescent="0.25">
      <c r="A15" s="217"/>
      <c r="B15" s="147"/>
      <c r="C15" s="384" t="str">
        <f>"Die mtl. Höchstbeitragsgrundlage in der Kranken- und Pensionsversicherung pro Person sowie in der Unfallversicherung für den einmal für den gesamten Betrieb zu entrichtenden Betriebsbeitrag beträgt einheitlich EUR "&amp;TEXT(VLOOKUP('Verknüpfungen 1'!A2,Wertedatenbank!A3:AC21,Wertedatenbank!G22),"# ###,00")&amp;". Bei gemeinsamer Betriebsführung durch Ehegatten werden daher Beiträge in der Kranken-"&amp;" und Pensionsversicherung jeweils bis zu dieser Höchstgrenze berechnet."</f>
        <v>Die mtl. Höchstbeitragsgrundlage in der Kranken- und Pensionsversicherung pro Person sowie in der Unfallversicherung für den einmal für den gesamten Betrieb zu entrichtenden Betriebsbeitrag beträgt einheitlich EUR 7 070,00. Bei gemeinsamer Betriebsführung durch Ehegatten werden daher Beiträge in der Kranken- und Pensionsversicherung jeweils bis zu dieser Höchstgrenze berechnet.</v>
      </c>
      <c r="D15" s="384"/>
      <c r="E15" s="384"/>
      <c r="F15" s="384"/>
      <c r="G15" s="384"/>
      <c r="H15" s="384"/>
      <c r="I15" s="384"/>
      <c r="J15" s="384"/>
      <c r="K15" s="217"/>
      <c r="L15" s="243" t="s">
        <v>311</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row>
    <row r="16" spans="1:36" s="137" customFormat="1" ht="14.25" customHeight="1" x14ac:dyDescent="0.25">
      <c r="A16" s="217"/>
      <c r="B16" s="138"/>
      <c r="C16" s="384"/>
      <c r="D16" s="384"/>
      <c r="E16" s="384"/>
      <c r="F16" s="384"/>
      <c r="G16" s="384"/>
      <c r="H16" s="384"/>
      <c r="I16" s="384"/>
      <c r="J16" s="384"/>
      <c r="K16" s="217"/>
      <c r="L16" s="243" t="s">
        <v>310</v>
      </c>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row>
    <row r="17" spans="1:36" s="137" customFormat="1" ht="14.25" customHeight="1" x14ac:dyDescent="0.25">
      <c r="A17" s="217"/>
      <c r="B17" s="138"/>
      <c r="C17" s="384"/>
      <c r="D17" s="384"/>
      <c r="E17" s="384"/>
      <c r="F17" s="384"/>
      <c r="G17" s="384"/>
      <c r="H17" s="384"/>
      <c r="I17" s="384"/>
      <c r="J17" s="384"/>
      <c r="K17" s="217"/>
      <c r="L17" s="352" t="s">
        <v>323</v>
      </c>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row>
    <row r="18" spans="1:36" s="137" customFormat="1" ht="8.25" customHeight="1" x14ac:dyDescent="0.25">
      <c r="A18" s="217"/>
      <c r="B18" s="138"/>
      <c r="C18" s="138"/>
      <c r="D18" s="138"/>
      <c r="E18" s="138"/>
      <c r="F18" s="138"/>
      <c r="G18" s="138"/>
      <c r="H18" s="138"/>
      <c r="I18" s="138"/>
      <c r="J18" s="138"/>
      <c r="K18" s="217"/>
      <c r="L18" s="352"/>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row>
    <row r="19" spans="1:36" s="137" customFormat="1" ht="14.25" customHeight="1" x14ac:dyDescent="0.25">
      <c r="A19" s="217"/>
      <c r="B19" s="138"/>
      <c r="C19" s="384" t="str">
        <f>"Die Höchstbeitragsgrundlage wird mit einem Einheitswert von EUR "&amp;TEXT(VLOOKUP('Verknüpfungen 1'!A2,Wertedatenbank!A3:AC21,Wertedatenbank!Y22),"# ###,00")&amp;" bzw. bei ehepartnerschaftlichen Betrieben mit einem Einheitswert von EUR "&amp;TEXT(VLOOKUP('Verknüpfungen 1'!A2,Wertedatenbank!A3:AC21,Wertedatenbank!Z22),"# ###,00")&amp;" erreicht."</f>
        <v>Die Höchstbeitragsgrundlage wird mit einem Einheitswert von EUR 87 400,00 bzw. bei ehepartnerschaftlichen Betrieben mit einem Einheitswert von EUR 276 900,00 erreicht.</v>
      </c>
      <c r="D19" s="384"/>
      <c r="E19" s="384"/>
      <c r="F19" s="384"/>
      <c r="G19" s="384"/>
      <c r="H19" s="384"/>
      <c r="I19" s="384"/>
      <c r="J19" s="384"/>
      <c r="K19" s="217"/>
      <c r="L19" s="352" t="s">
        <v>257</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row>
    <row r="20" spans="1:36" s="137" customFormat="1" ht="14.25" customHeight="1" x14ac:dyDescent="0.25">
      <c r="A20" s="217"/>
      <c r="B20" s="138"/>
      <c r="C20" s="384"/>
      <c r="D20" s="384"/>
      <c r="E20" s="384"/>
      <c r="F20" s="384"/>
      <c r="G20" s="384"/>
      <c r="H20" s="384"/>
      <c r="I20" s="384"/>
      <c r="J20" s="384"/>
      <c r="K20" s="217"/>
      <c r="L20" s="352"/>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row>
    <row r="21" spans="1:36" s="137" customFormat="1" ht="14.25" customHeight="1" x14ac:dyDescent="0.25">
      <c r="A21" s="217"/>
      <c r="B21" s="138"/>
      <c r="C21" s="138"/>
      <c r="D21" s="138"/>
      <c r="E21" s="138"/>
      <c r="F21" s="138"/>
      <c r="G21" s="138"/>
      <c r="H21" s="138"/>
      <c r="I21" s="138"/>
      <c r="J21" s="138"/>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row>
    <row r="22" spans="1:36" s="137" customFormat="1" ht="14.25" customHeight="1" x14ac:dyDescent="0.25">
      <c r="A22" s="217"/>
      <c r="B22" s="157" t="s">
        <v>151</v>
      </c>
      <c r="C22" s="423" t="s">
        <v>152</v>
      </c>
      <c r="D22" s="423"/>
      <c r="E22" s="423"/>
      <c r="F22" s="423"/>
      <c r="G22" s="423"/>
      <c r="H22" s="423"/>
      <c r="I22" s="423"/>
      <c r="J22" s="423"/>
      <c r="K22" s="217"/>
      <c r="L22" s="243" t="s">
        <v>261</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row>
    <row r="23" spans="1:36" s="137" customFormat="1" ht="14.25" customHeight="1" x14ac:dyDescent="0.25">
      <c r="A23" s="217"/>
      <c r="B23" s="155"/>
      <c r="C23" s="155"/>
      <c r="D23" s="155"/>
      <c r="E23" s="155"/>
      <c r="F23" s="155"/>
      <c r="G23" s="155"/>
      <c r="H23" s="155"/>
      <c r="I23" s="155"/>
      <c r="J23" s="155"/>
      <c r="K23" s="217"/>
      <c r="L23" s="243" t="s">
        <v>309</v>
      </c>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row>
    <row r="24" spans="1:36" s="137" customFormat="1" ht="14.25" customHeight="1" x14ac:dyDescent="0.25">
      <c r="A24" s="217"/>
      <c r="B24" s="155"/>
      <c r="C24" s="398" t="str">
        <f>"Die Höchstbeitragsgrundlage für im elterlichen Betrieb hauptberuflich beschäftigte Kinder, sofern sie aufgrund dieser Beschäftigung nach dem BSVG versichert sind, beträgt in der Kranken- und Pensionsversicherung einheitlich EUR "&amp;TEXT(ROUND(VLOOKUP('Verknüpfungen 1'!A2,Wertedatenbank!A3:AC21,Wertedatenbank!G22)/3,2),"# ###,00")&amp;"."</f>
        <v>Die Höchstbeitragsgrundlage für im elterlichen Betrieb hauptberuflich beschäftigte Kinder, sofern sie aufgrund dieser Beschäftigung nach dem BSVG versichert sind, beträgt in der Kranken- und Pensionsversicherung einheitlich EUR 2 356,67.</v>
      </c>
      <c r="D24" s="398"/>
      <c r="E24" s="398"/>
      <c r="F24" s="398"/>
      <c r="G24" s="398"/>
      <c r="H24" s="398"/>
      <c r="I24" s="398"/>
      <c r="J24" s="398"/>
      <c r="K24" s="217"/>
      <c r="L24" s="355" t="s">
        <v>260</v>
      </c>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row>
    <row r="25" spans="1:36" s="137" customFormat="1" ht="14.25" customHeight="1" x14ac:dyDescent="0.25">
      <c r="A25" s="217"/>
      <c r="B25" s="154"/>
      <c r="C25" s="398"/>
      <c r="D25" s="398"/>
      <c r="E25" s="398"/>
      <c r="F25" s="398"/>
      <c r="G25" s="398"/>
      <c r="H25" s="398"/>
      <c r="I25" s="398"/>
      <c r="J25" s="398"/>
      <c r="K25" s="217"/>
      <c r="L25" s="355"/>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row>
    <row r="26" spans="1:36" s="137" customFormat="1" ht="14.25" customHeight="1" x14ac:dyDescent="0.25">
      <c r="A26" s="217"/>
      <c r="B26" s="156"/>
      <c r="C26" s="155"/>
      <c r="D26" s="155"/>
      <c r="E26" s="155"/>
      <c r="F26" s="155"/>
      <c r="G26" s="155"/>
      <c r="H26" s="155"/>
      <c r="I26" s="155"/>
      <c r="J26" s="155"/>
      <c r="K26" s="217"/>
      <c r="L26" s="355"/>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row>
    <row r="27" spans="1:36" s="137" customFormat="1" ht="14.25" customHeight="1" x14ac:dyDescent="0.25">
      <c r="A27" s="217"/>
      <c r="B27" s="157" t="s">
        <v>151</v>
      </c>
      <c r="C27" s="423" t="s">
        <v>153</v>
      </c>
      <c r="D27" s="423"/>
      <c r="E27" s="423"/>
      <c r="F27" s="423"/>
      <c r="G27" s="423"/>
      <c r="H27" s="423"/>
      <c r="I27" s="423"/>
      <c r="J27" s="423"/>
      <c r="K27" s="217"/>
      <c r="L27" s="30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row>
    <row r="28" spans="1:36" s="137" customFormat="1" ht="14.25" customHeight="1" x14ac:dyDescent="0.25">
      <c r="A28" s="217"/>
      <c r="B28" s="155"/>
      <c r="C28" s="155"/>
      <c r="D28" s="155"/>
      <c r="E28" s="155"/>
      <c r="F28" s="155"/>
      <c r="G28" s="155"/>
      <c r="H28" s="155"/>
      <c r="I28" s="155"/>
      <c r="J28" s="155"/>
      <c r="K28" s="217"/>
      <c r="L28" s="30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row>
    <row r="29" spans="1:36" s="137" customFormat="1" ht="14.25" customHeight="1" x14ac:dyDescent="0.25">
      <c r="A29" s="217"/>
      <c r="B29" s="153"/>
      <c r="C29" s="384" t="str">
        <f>"Für einen Elternteil, welcher nach erfolgter Übergabe im Betrieb hauptberuflich beschäftigt ist, beträgt die Höchstbeitragsgrundlage in der Kranken- und Pensionsversicherung EUR "&amp;TEXT(ROUND(VLOOKUP('Verknüpfungen 1'!A2,Wertedatenbank!A3:AC21,Wertedatenbank!G22)/2,2),"# ###,00")&amp;"."</f>
        <v>Für einen Elternteil, welcher nach erfolgter Übergabe im Betrieb hauptberuflich beschäftigt ist, beträgt die Höchstbeitragsgrundlage in der Kranken- und Pensionsversicherung EUR 3 535,00.</v>
      </c>
      <c r="D29" s="384"/>
      <c r="E29" s="384"/>
      <c r="F29" s="384"/>
      <c r="G29" s="384"/>
      <c r="H29" s="384"/>
      <c r="I29" s="384"/>
      <c r="J29" s="384"/>
      <c r="K29" s="217"/>
      <c r="L29" s="30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row>
    <row r="30" spans="1:36" s="137" customFormat="1" ht="14.25" customHeight="1" x14ac:dyDescent="0.25">
      <c r="A30" s="217"/>
      <c r="B30" s="153"/>
      <c r="C30" s="384"/>
      <c r="D30" s="384"/>
      <c r="E30" s="384"/>
      <c r="F30" s="384"/>
      <c r="G30" s="384"/>
      <c r="H30" s="384"/>
      <c r="I30" s="384"/>
      <c r="J30" s="384"/>
      <c r="K30" s="217"/>
      <c r="L30" s="30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row>
    <row r="31" spans="1:36" s="137" customFormat="1" ht="14.25" customHeight="1" x14ac:dyDescent="0.25">
      <c r="A31" s="217"/>
      <c r="B31" s="153"/>
      <c r="C31" s="153"/>
      <c r="D31" s="153"/>
      <c r="E31" s="153"/>
      <c r="F31" s="153"/>
      <c r="G31" s="153"/>
      <c r="H31" s="153"/>
      <c r="I31" s="153"/>
      <c r="J31" s="153"/>
      <c r="K31" s="217"/>
      <c r="L31" s="30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row>
    <row r="32" spans="1:36" s="137" customFormat="1" ht="14.25" customHeight="1" x14ac:dyDescent="0.25">
      <c r="A32" s="217"/>
      <c r="B32" s="384" t="s">
        <v>236</v>
      </c>
      <c r="C32" s="424"/>
      <c r="D32" s="424"/>
      <c r="E32" s="424"/>
      <c r="F32" s="424"/>
      <c r="G32" s="424"/>
      <c r="H32" s="424"/>
      <c r="I32" s="424"/>
      <c r="J32" s="424"/>
      <c r="K32" s="217"/>
      <c r="L32" s="30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row>
    <row r="33" spans="1:36" s="137" customFormat="1" ht="14.25" customHeight="1" x14ac:dyDescent="0.25">
      <c r="A33" s="217"/>
      <c r="B33" s="424"/>
      <c r="C33" s="424"/>
      <c r="D33" s="424"/>
      <c r="E33" s="424"/>
      <c r="F33" s="424"/>
      <c r="G33" s="424"/>
      <c r="H33" s="424"/>
      <c r="I33" s="424"/>
      <c r="J33" s="424"/>
      <c r="K33" s="217"/>
      <c r="L33" s="30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row>
    <row r="34" spans="1:36" s="137" customFormat="1" ht="14.25" customHeight="1" x14ac:dyDescent="0.25">
      <c r="A34" s="217"/>
      <c r="B34" s="424"/>
      <c r="C34" s="424"/>
      <c r="D34" s="424"/>
      <c r="E34" s="424"/>
      <c r="F34" s="424"/>
      <c r="G34" s="424"/>
      <c r="H34" s="424"/>
      <c r="I34" s="424"/>
      <c r="J34" s="424"/>
      <c r="K34" s="217"/>
      <c r="L34" s="30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row>
    <row r="35" spans="1:36" s="137" customFormat="1" ht="14.25" customHeight="1" x14ac:dyDescent="0.25">
      <c r="A35" s="217"/>
      <c r="B35" s="424"/>
      <c r="C35" s="424"/>
      <c r="D35" s="424"/>
      <c r="E35" s="424"/>
      <c r="F35" s="424"/>
      <c r="G35" s="424"/>
      <c r="H35" s="424"/>
      <c r="I35" s="424"/>
      <c r="J35" s="424"/>
      <c r="K35" s="217"/>
      <c r="L35" s="301"/>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row>
    <row r="36" spans="1:36" s="14" customFormat="1" ht="30" customHeight="1" x14ac:dyDescent="0.25">
      <c r="A36" s="219"/>
      <c r="B36" s="397" t="s">
        <v>298</v>
      </c>
      <c r="C36" s="397"/>
      <c r="D36" s="397"/>
      <c r="E36" s="397"/>
      <c r="F36" s="397"/>
      <c r="G36" s="397"/>
      <c r="H36" s="397"/>
      <c r="I36" s="397"/>
      <c r="J36" s="397"/>
      <c r="K36" s="219"/>
      <c r="L36" s="301"/>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row>
    <row r="37" spans="1:36" ht="45" customHeight="1" x14ac:dyDescent="0.25">
      <c r="A37" s="218"/>
      <c r="B37" s="218"/>
      <c r="C37" s="218"/>
      <c r="D37" s="218"/>
      <c r="E37" s="218"/>
      <c r="F37" s="218"/>
      <c r="G37" s="218"/>
      <c r="H37" s="218"/>
      <c r="I37" s="218"/>
      <c r="J37" s="220"/>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row>
    <row r="38" spans="1:36" ht="45" customHeight="1" x14ac:dyDescent="0.25">
      <c r="A38" s="218"/>
      <c r="B38" s="218"/>
      <c r="C38" s="218"/>
      <c r="D38" s="218"/>
      <c r="E38" s="218"/>
      <c r="F38" s="218"/>
      <c r="G38" s="218"/>
      <c r="H38" s="218"/>
      <c r="I38" s="218"/>
      <c r="J38" s="220"/>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row>
    <row r="39" spans="1:36" ht="45" customHeight="1" x14ac:dyDescent="0.25">
      <c r="A39" s="218"/>
      <c r="B39" s="218"/>
      <c r="C39" s="218"/>
      <c r="D39" s="218"/>
      <c r="E39" s="218"/>
      <c r="F39" s="218"/>
      <c r="G39" s="218"/>
      <c r="H39" s="218"/>
      <c r="I39" s="218"/>
      <c r="J39" s="220"/>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row>
    <row r="40" spans="1:36" ht="45" customHeight="1" x14ac:dyDescent="0.25">
      <c r="A40" s="218"/>
      <c r="B40" s="218"/>
      <c r="C40" s="218"/>
      <c r="D40" s="218"/>
      <c r="E40" s="218"/>
      <c r="F40" s="218"/>
      <c r="G40" s="218"/>
      <c r="H40" s="218"/>
      <c r="I40" s="218"/>
      <c r="J40" s="220"/>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row>
    <row r="41" spans="1:36" ht="45" customHeight="1" x14ac:dyDescent="0.25">
      <c r="A41" s="218"/>
      <c r="B41" s="218"/>
      <c r="C41" s="218"/>
      <c r="D41" s="218"/>
      <c r="E41" s="218"/>
      <c r="F41" s="218"/>
      <c r="G41" s="218"/>
      <c r="H41" s="218"/>
      <c r="I41" s="218"/>
      <c r="J41" s="220"/>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row>
    <row r="42" spans="1:36" ht="45" customHeight="1" x14ac:dyDescent="0.25">
      <c r="A42" s="218"/>
      <c r="B42" s="218"/>
      <c r="C42" s="218"/>
      <c r="D42" s="218"/>
      <c r="E42" s="218"/>
      <c r="F42" s="218"/>
      <c r="G42" s="218"/>
      <c r="H42" s="218"/>
      <c r="I42" s="218"/>
      <c r="J42" s="220"/>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row>
    <row r="43" spans="1:36" ht="45" customHeight="1" x14ac:dyDescent="0.25">
      <c r="A43" s="218"/>
      <c r="B43" s="218"/>
      <c r="C43" s="218"/>
      <c r="D43" s="218"/>
      <c r="E43" s="218"/>
      <c r="F43" s="218"/>
      <c r="G43" s="218"/>
      <c r="H43" s="218"/>
      <c r="I43" s="218"/>
      <c r="J43" s="220"/>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row>
    <row r="44" spans="1:36" ht="45" customHeight="1" x14ac:dyDescent="0.25">
      <c r="A44" s="218"/>
      <c r="B44" s="218"/>
      <c r="C44" s="218"/>
      <c r="D44" s="218"/>
      <c r="E44" s="218"/>
      <c r="F44" s="218"/>
      <c r="G44" s="218"/>
      <c r="H44" s="218"/>
      <c r="I44" s="218"/>
      <c r="J44" s="220"/>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row>
    <row r="45" spans="1:36" ht="45" customHeight="1" x14ac:dyDescent="0.25">
      <c r="A45" s="218"/>
      <c r="B45" s="218"/>
      <c r="C45" s="218"/>
      <c r="D45" s="218"/>
      <c r="E45" s="218"/>
      <c r="F45" s="218"/>
      <c r="G45" s="218"/>
      <c r="H45" s="218"/>
      <c r="I45" s="218"/>
      <c r="J45" s="220"/>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row>
    <row r="46" spans="1:36" ht="45" customHeight="1" x14ac:dyDescent="0.25">
      <c r="A46" s="218"/>
      <c r="B46" s="218"/>
      <c r="C46" s="218"/>
      <c r="D46" s="218"/>
      <c r="E46" s="218"/>
      <c r="F46" s="218"/>
      <c r="G46" s="218"/>
      <c r="H46" s="218"/>
      <c r="I46" s="218"/>
      <c r="J46" s="220"/>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row>
    <row r="47" spans="1:36" ht="45" customHeight="1" x14ac:dyDescent="0.25">
      <c r="A47" s="218"/>
      <c r="B47" s="218"/>
      <c r="C47" s="218"/>
      <c r="D47" s="218"/>
      <c r="E47" s="218"/>
      <c r="F47" s="218"/>
      <c r="G47" s="218"/>
      <c r="H47" s="218"/>
      <c r="I47" s="218"/>
      <c r="J47" s="220"/>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row>
    <row r="48" spans="1:36" ht="45" customHeight="1" x14ac:dyDescent="0.25">
      <c r="A48" s="218"/>
      <c r="B48" s="218"/>
      <c r="C48" s="218"/>
      <c r="D48" s="218"/>
      <c r="E48" s="218"/>
      <c r="F48" s="218"/>
      <c r="G48" s="218"/>
      <c r="H48" s="218"/>
      <c r="I48" s="218"/>
      <c r="J48" s="220"/>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row>
    <row r="49" spans="1:36" ht="45" customHeight="1" x14ac:dyDescent="0.25">
      <c r="A49" s="218"/>
      <c r="B49" s="218"/>
      <c r="C49" s="218"/>
      <c r="D49" s="218"/>
      <c r="E49" s="218"/>
      <c r="F49" s="218"/>
      <c r="G49" s="218"/>
      <c r="H49" s="218"/>
      <c r="I49" s="218"/>
      <c r="J49" s="220"/>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row>
    <row r="50" spans="1:36" ht="45" customHeight="1" x14ac:dyDescent="0.25">
      <c r="A50" s="218"/>
      <c r="B50" s="218"/>
      <c r="C50" s="218"/>
      <c r="D50" s="218"/>
      <c r="E50" s="218"/>
      <c r="F50" s="218"/>
      <c r="G50" s="218"/>
      <c r="H50" s="218"/>
      <c r="I50" s="218"/>
      <c r="J50" s="220"/>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row>
    <row r="51" spans="1:36" ht="45" customHeight="1" x14ac:dyDescent="0.25">
      <c r="A51" s="218"/>
      <c r="B51" s="218"/>
      <c r="C51" s="218"/>
      <c r="D51" s="218"/>
      <c r="E51" s="218"/>
      <c r="F51" s="218"/>
      <c r="G51" s="218"/>
      <c r="H51" s="218"/>
      <c r="I51" s="218"/>
      <c r="J51" s="220"/>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row>
    <row r="52" spans="1:36" ht="45" customHeight="1" x14ac:dyDescent="0.25">
      <c r="A52" s="218"/>
      <c r="B52" s="218"/>
      <c r="C52" s="218"/>
      <c r="D52" s="218"/>
      <c r="E52" s="218"/>
      <c r="F52" s="218"/>
      <c r="G52" s="218"/>
      <c r="H52" s="218"/>
      <c r="I52" s="218"/>
      <c r="J52" s="220"/>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row>
    <row r="53" spans="1:36" ht="45" customHeight="1" x14ac:dyDescent="0.25">
      <c r="A53" s="218"/>
      <c r="B53" s="218"/>
      <c r="C53" s="218"/>
      <c r="D53" s="218"/>
      <c r="E53" s="218"/>
      <c r="F53" s="218"/>
      <c r="G53" s="218"/>
      <c r="H53" s="218"/>
      <c r="I53" s="218"/>
      <c r="J53" s="220"/>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row>
    <row r="54" spans="1:36" ht="45" customHeight="1" x14ac:dyDescent="0.25">
      <c r="A54" s="218"/>
      <c r="B54" s="218"/>
      <c r="C54" s="218"/>
      <c r="D54" s="218"/>
      <c r="E54" s="218"/>
      <c r="F54" s="218"/>
      <c r="G54" s="218"/>
      <c r="H54" s="218"/>
      <c r="I54" s="218"/>
      <c r="J54" s="220"/>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row>
    <row r="55" spans="1:36" ht="45" customHeight="1" x14ac:dyDescent="0.25">
      <c r="A55" s="218"/>
      <c r="B55" s="218"/>
      <c r="C55" s="218"/>
      <c r="D55" s="218"/>
      <c r="E55" s="218"/>
      <c r="F55" s="218"/>
      <c r="G55" s="218"/>
      <c r="H55" s="218"/>
      <c r="I55" s="218"/>
      <c r="J55" s="220"/>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row>
    <row r="56" spans="1:36" ht="45" customHeight="1" x14ac:dyDescent="0.25">
      <c r="A56" s="218"/>
      <c r="B56" s="218"/>
      <c r="C56" s="218"/>
      <c r="D56" s="218"/>
      <c r="E56" s="218"/>
      <c r="F56" s="218"/>
      <c r="G56" s="218"/>
      <c r="H56" s="218"/>
      <c r="I56" s="218"/>
      <c r="J56" s="220"/>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row>
    <row r="57" spans="1:36" ht="45" customHeight="1" x14ac:dyDescent="0.25">
      <c r="A57" s="218"/>
      <c r="B57" s="218"/>
      <c r="C57" s="218"/>
      <c r="D57" s="218"/>
      <c r="E57" s="218"/>
      <c r="F57" s="218"/>
      <c r="G57" s="218"/>
      <c r="H57" s="218"/>
      <c r="I57" s="218"/>
      <c r="J57" s="220"/>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row>
    <row r="58" spans="1:36" ht="45" customHeight="1" x14ac:dyDescent="0.25">
      <c r="A58" s="218"/>
      <c r="B58" s="218"/>
      <c r="C58" s="218"/>
      <c r="D58" s="218"/>
      <c r="E58" s="218"/>
      <c r="F58" s="218"/>
      <c r="G58" s="218"/>
      <c r="H58" s="218"/>
      <c r="I58" s="218"/>
      <c r="J58" s="220"/>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row>
    <row r="59" spans="1:36" ht="45" customHeight="1" x14ac:dyDescent="0.25">
      <c r="A59" s="218"/>
      <c r="B59" s="218"/>
      <c r="C59" s="218"/>
      <c r="D59" s="218"/>
      <c r="E59" s="218"/>
      <c r="F59" s="218"/>
      <c r="G59" s="218"/>
      <c r="H59" s="218"/>
      <c r="I59" s="218"/>
      <c r="J59" s="220"/>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row>
    <row r="60" spans="1:36" ht="45" customHeight="1" x14ac:dyDescent="0.25">
      <c r="A60" s="218"/>
      <c r="B60" s="218"/>
      <c r="C60" s="218"/>
      <c r="D60" s="218"/>
      <c r="E60" s="218"/>
      <c r="F60" s="218"/>
      <c r="G60" s="218"/>
      <c r="H60" s="218"/>
      <c r="I60" s="218"/>
      <c r="J60" s="220"/>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row>
    <row r="61" spans="1:36" ht="45" customHeight="1" x14ac:dyDescent="0.25">
      <c r="A61" s="218"/>
      <c r="B61" s="218"/>
      <c r="C61" s="218"/>
      <c r="D61" s="218"/>
      <c r="E61" s="218"/>
      <c r="F61" s="218"/>
      <c r="G61" s="218"/>
      <c r="H61" s="218"/>
      <c r="I61" s="218"/>
      <c r="J61" s="220"/>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row>
    <row r="62" spans="1:36" ht="45" customHeight="1" x14ac:dyDescent="0.25">
      <c r="A62" s="218"/>
      <c r="B62" s="218"/>
      <c r="C62" s="218"/>
      <c r="D62" s="218"/>
      <c r="E62" s="218"/>
      <c r="F62" s="218"/>
      <c r="G62" s="218"/>
      <c r="H62" s="218"/>
      <c r="I62" s="218"/>
      <c r="J62" s="220"/>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row>
    <row r="63" spans="1:36" ht="45" customHeight="1" x14ac:dyDescent="0.25">
      <c r="A63" s="218"/>
      <c r="B63" s="218"/>
      <c r="C63" s="218"/>
      <c r="D63" s="218"/>
      <c r="E63" s="218"/>
      <c r="F63" s="218"/>
      <c r="G63" s="218"/>
      <c r="H63" s="218"/>
      <c r="I63" s="218"/>
      <c r="J63" s="220"/>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row>
    <row r="64" spans="1:36" ht="45" customHeight="1" x14ac:dyDescent="0.25">
      <c r="A64" s="218"/>
      <c r="B64" s="218"/>
      <c r="C64" s="218"/>
      <c r="D64" s="218"/>
      <c r="E64" s="218"/>
      <c r="F64" s="218"/>
      <c r="G64" s="218"/>
      <c r="H64" s="218"/>
      <c r="I64" s="218"/>
      <c r="J64" s="220"/>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row>
    <row r="65" spans="1:36" ht="45" customHeight="1" x14ac:dyDescent="0.25">
      <c r="A65" s="218"/>
      <c r="B65" s="218"/>
      <c r="C65" s="218"/>
      <c r="D65" s="218"/>
      <c r="E65" s="218"/>
      <c r="F65" s="218"/>
      <c r="G65" s="218"/>
      <c r="H65" s="218"/>
      <c r="I65" s="218"/>
      <c r="J65" s="220"/>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row>
    <row r="66" spans="1:36" ht="45" customHeight="1" x14ac:dyDescent="0.25">
      <c r="A66" s="218"/>
      <c r="B66" s="218"/>
      <c r="C66" s="218"/>
      <c r="D66" s="218"/>
      <c r="E66" s="218"/>
      <c r="F66" s="218"/>
      <c r="G66" s="218"/>
      <c r="H66" s="218"/>
      <c r="I66" s="218"/>
      <c r="J66" s="220"/>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row>
    <row r="67" spans="1:36" ht="45" customHeight="1" x14ac:dyDescent="0.25">
      <c r="A67" s="218"/>
      <c r="B67" s="218"/>
      <c r="C67" s="218"/>
      <c r="D67" s="218"/>
      <c r="E67" s="218"/>
      <c r="F67" s="218"/>
      <c r="G67" s="218"/>
      <c r="H67" s="218"/>
      <c r="I67" s="218"/>
      <c r="J67" s="220"/>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row>
    <row r="68" spans="1:36" ht="45" customHeight="1" x14ac:dyDescent="0.25">
      <c r="A68" s="218"/>
      <c r="B68" s="218"/>
      <c r="C68" s="218"/>
      <c r="D68" s="218"/>
      <c r="E68" s="218"/>
      <c r="F68" s="218"/>
      <c r="G68" s="218"/>
      <c r="H68" s="218"/>
      <c r="I68" s="218"/>
      <c r="J68" s="220"/>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row>
    <row r="69" spans="1:36" ht="45" customHeight="1" x14ac:dyDescent="0.25">
      <c r="A69" s="218"/>
      <c r="B69" s="218"/>
      <c r="C69" s="218"/>
      <c r="D69" s="218"/>
      <c r="E69" s="218"/>
      <c r="F69" s="218"/>
      <c r="G69" s="218"/>
      <c r="H69" s="218"/>
      <c r="I69" s="218"/>
      <c r="J69" s="220"/>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row>
    <row r="70" spans="1:36" ht="45" customHeight="1" x14ac:dyDescent="0.25">
      <c r="A70" s="218"/>
      <c r="B70" s="218"/>
      <c r="C70" s="218"/>
      <c r="D70" s="218"/>
      <c r="E70" s="218"/>
      <c r="F70" s="218"/>
      <c r="G70" s="218"/>
      <c r="H70" s="218"/>
      <c r="I70" s="218"/>
      <c r="J70" s="220"/>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row>
    <row r="71" spans="1:36" ht="45" customHeight="1" x14ac:dyDescent="0.25">
      <c r="A71" s="218"/>
      <c r="B71" s="218"/>
      <c r="C71" s="218"/>
      <c r="D71" s="218"/>
      <c r="E71" s="218"/>
      <c r="F71" s="218"/>
      <c r="G71" s="218"/>
      <c r="H71" s="218"/>
      <c r="I71" s="218"/>
      <c r="J71" s="220"/>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row>
    <row r="72" spans="1:36" ht="45" customHeight="1" x14ac:dyDescent="0.25">
      <c r="A72" s="218"/>
      <c r="B72" s="218"/>
      <c r="C72" s="218"/>
      <c r="D72" s="218"/>
      <c r="E72" s="218"/>
      <c r="F72" s="218"/>
      <c r="G72" s="218"/>
      <c r="H72" s="218"/>
      <c r="I72" s="218"/>
      <c r="J72" s="220"/>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row>
    <row r="73" spans="1:36" ht="45" customHeight="1" x14ac:dyDescent="0.25">
      <c r="A73" s="218"/>
      <c r="B73" s="218"/>
      <c r="C73" s="218"/>
      <c r="D73" s="218"/>
      <c r="E73" s="218"/>
      <c r="F73" s="218"/>
      <c r="G73" s="218"/>
      <c r="H73" s="218"/>
      <c r="I73" s="218"/>
      <c r="J73" s="220"/>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row>
    <row r="74" spans="1:36" ht="45" customHeight="1" x14ac:dyDescent="0.25">
      <c r="A74" s="218"/>
      <c r="B74" s="218"/>
      <c r="C74" s="218"/>
      <c r="D74" s="218"/>
      <c r="E74" s="218"/>
      <c r="F74" s="218"/>
      <c r="G74" s="218"/>
      <c r="H74" s="218"/>
      <c r="I74" s="218"/>
      <c r="J74" s="220"/>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row>
    <row r="75" spans="1:36" ht="45" customHeight="1" x14ac:dyDescent="0.25">
      <c r="A75" s="218"/>
      <c r="B75" s="218"/>
      <c r="C75" s="218"/>
      <c r="D75" s="218"/>
      <c r="E75" s="218"/>
      <c r="F75" s="218"/>
      <c r="G75" s="218"/>
      <c r="H75" s="218"/>
      <c r="I75" s="218"/>
      <c r="J75" s="220"/>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row>
    <row r="76" spans="1:36" ht="45" customHeight="1" x14ac:dyDescent="0.25">
      <c r="A76" s="218"/>
      <c r="B76" s="218"/>
      <c r="C76" s="218"/>
      <c r="D76" s="218"/>
      <c r="E76" s="218"/>
      <c r="F76" s="218"/>
      <c r="G76" s="218"/>
      <c r="H76" s="218"/>
      <c r="I76" s="218"/>
      <c r="J76" s="220"/>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row>
    <row r="77" spans="1:36" ht="45" customHeight="1" x14ac:dyDescent="0.25">
      <c r="A77" s="218"/>
      <c r="B77" s="218"/>
      <c r="C77" s="218"/>
      <c r="D77" s="218"/>
      <c r="E77" s="218"/>
      <c r="F77" s="218"/>
      <c r="G77" s="218"/>
      <c r="H77" s="218"/>
      <c r="I77" s="218"/>
      <c r="J77" s="220"/>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row>
    <row r="78" spans="1:36" ht="45" customHeight="1" x14ac:dyDescent="0.25">
      <c r="A78" s="218"/>
      <c r="B78" s="218"/>
      <c r="C78" s="218"/>
      <c r="D78" s="218"/>
      <c r="E78" s="218"/>
      <c r="F78" s="218"/>
      <c r="G78" s="218"/>
      <c r="H78" s="218"/>
      <c r="I78" s="218"/>
      <c r="J78" s="220"/>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row>
    <row r="79" spans="1:36" ht="45" customHeight="1" x14ac:dyDescent="0.25">
      <c r="A79" s="218"/>
      <c r="B79" s="218"/>
      <c r="C79" s="218"/>
      <c r="D79" s="218"/>
      <c r="E79" s="218"/>
      <c r="F79" s="218"/>
      <c r="G79" s="218"/>
      <c r="H79" s="218"/>
      <c r="I79" s="218"/>
      <c r="J79" s="220"/>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row>
    <row r="80" spans="1:36" ht="45" customHeight="1" x14ac:dyDescent="0.25">
      <c r="A80" s="218"/>
      <c r="B80" s="218"/>
      <c r="C80" s="218"/>
      <c r="D80" s="218"/>
      <c r="E80" s="218"/>
      <c r="F80" s="218"/>
      <c r="G80" s="218"/>
      <c r="H80" s="218"/>
      <c r="I80" s="218"/>
      <c r="J80" s="220"/>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row>
    <row r="81" spans="1:36" ht="45" customHeight="1" x14ac:dyDescent="0.25">
      <c r="A81" s="218"/>
      <c r="B81" s="218"/>
      <c r="C81" s="218"/>
      <c r="D81" s="218"/>
      <c r="E81" s="218"/>
      <c r="F81" s="218"/>
      <c r="G81" s="218"/>
      <c r="H81" s="218"/>
      <c r="I81" s="218"/>
      <c r="J81" s="220"/>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row>
    <row r="82" spans="1:36" ht="45" customHeight="1" x14ac:dyDescent="0.25">
      <c r="A82" s="218"/>
      <c r="B82" s="218"/>
      <c r="C82" s="218"/>
      <c r="D82" s="218"/>
      <c r="E82" s="218"/>
      <c r="F82" s="218"/>
      <c r="G82" s="218"/>
      <c r="H82" s="218"/>
      <c r="I82" s="218"/>
      <c r="J82" s="220"/>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row>
    <row r="83" spans="1:36" ht="45" customHeight="1" x14ac:dyDescent="0.25">
      <c r="A83" s="218"/>
      <c r="B83" s="218"/>
      <c r="C83" s="218"/>
      <c r="D83" s="218"/>
      <c r="E83" s="218"/>
      <c r="F83" s="218"/>
      <c r="G83" s="218"/>
      <c r="H83" s="218"/>
      <c r="I83" s="218"/>
      <c r="J83" s="220"/>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row>
    <row r="84" spans="1:36" ht="45" customHeight="1" x14ac:dyDescent="0.25">
      <c r="A84" s="218"/>
      <c r="B84" s="218"/>
      <c r="C84" s="218"/>
      <c r="D84" s="218"/>
      <c r="E84" s="218"/>
      <c r="F84" s="218"/>
      <c r="G84" s="218"/>
      <c r="H84" s="218"/>
      <c r="I84" s="218"/>
      <c r="J84" s="220"/>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row>
    <row r="85" spans="1:36" ht="45" customHeight="1" x14ac:dyDescent="0.25">
      <c r="A85" s="218"/>
      <c r="B85" s="218"/>
      <c r="C85" s="218"/>
      <c r="D85" s="218"/>
      <c r="E85" s="218"/>
      <c r="F85" s="218"/>
      <c r="G85" s="218"/>
      <c r="H85" s="218"/>
      <c r="I85" s="218"/>
      <c r="J85" s="220"/>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row>
  </sheetData>
  <mergeCells count="20">
    <mergeCell ref="L24:L26"/>
    <mergeCell ref="B2:J2"/>
    <mergeCell ref="B3:J3"/>
    <mergeCell ref="F5:J5"/>
    <mergeCell ref="C27:J27"/>
    <mergeCell ref="L7:L8"/>
    <mergeCell ref="L9:L10"/>
    <mergeCell ref="L11:L13"/>
    <mergeCell ref="L17:L18"/>
    <mergeCell ref="L19:L20"/>
    <mergeCell ref="C29:J30"/>
    <mergeCell ref="B6:J9"/>
    <mergeCell ref="B11:J11"/>
    <mergeCell ref="C13:J13"/>
    <mergeCell ref="B36:J36"/>
    <mergeCell ref="C15:J17"/>
    <mergeCell ref="C24:J25"/>
    <mergeCell ref="B32:J35"/>
    <mergeCell ref="C19:J20"/>
    <mergeCell ref="C22:J22"/>
  </mergeCells>
  <phoneticPr fontId="6" type="noConversion"/>
  <conditionalFormatting sqref="L11:L13">
    <cfRule type="expression" dxfId="5" priority="1" stopIfTrue="1">
      <formula>IF($AY$1=1,TRUE,FALSE)</formula>
    </cfRule>
  </conditionalFormatting>
  <hyperlinks>
    <hyperlink ref="L11:L12" location="Pacht!A1" display="Zu-/Verpachtung bzw. Zu-/Verkauf"/>
    <hyperlink ref="L9:L10" location="'Internetfenster 2'!F6" display="Vergleichsbetrieb à"/>
    <hyperlink ref="L7:L8" location="'Internetfenster 1'!A1" display="Ausgangsbetrieb à"/>
    <hyperlink ref="L17:L18" location="EHW!A1" display="Heranzuziehender Einheitswert à"/>
    <hyperlink ref="L19" location="'Beiträge NT'!A1" display="Beiträge aus Nebentätigkeiten à"/>
    <hyperlink ref="L24" location="Angehörige!I5" display="Angehörige!I5"/>
  </hyperlinks>
  <printOptions horizontalCentered="1"/>
  <pageMargins left="0.59055118110236227" right="0.59055118110236227" top="0.59055118110236227" bottom="0.59055118110236227" header="0.51181102362204722" footer="0.51181102362204722"/>
  <pageSetup paperSize="9" scale="82" orientation="landscape" r:id="rId1"/>
  <headerFooter alignWithMargins="0">
    <oddFooter>&amp;L&amp;8SVB-Beitragsberechnungsprogramm&amp;C&amp;8Bitte beachten: Die ermittelten Ergebnisse dienen lediglich der Information und sind unverbindlich!&amp;R&amp;8&amp;D</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AO83"/>
  <sheetViews>
    <sheetView showGridLines="0" topLeftCell="A4" zoomScaleNormal="100" workbookViewId="0">
      <selection activeCell="E5" sqref="E5:I5"/>
    </sheetView>
  </sheetViews>
  <sheetFormatPr baseColWidth="10" defaultColWidth="11" defaultRowHeight="13.8" x14ac:dyDescent="0.25"/>
  <cols>
    <col min="1" max="1" width="11" style="134"/>
    <col min="2" max="5" width="19.59765625" style="134" customWidth="1"/>
    <col min="6" max="7" width="14.8984375" style="134" customWidth="1"/>
    <col min="8" max="8" width="17.8984375" style="134" customWidth="1"/>
    <col min="9" max="9" width="11.8984375" style="135" customWidth="1"/>
    <col min="10" max="10" width="4.09765625" style="134" customWidth="1"/>
    <col min="11" max="11" width="30.59765625" style="134" customWidth="1"/>
    <col min="12" max="12" width="11" style="134"/>
    <col min="13" max="15" width="13.69921875" style="134" customWidth="1"/>
    <col min="16" max="16384" width="11" style="134"/>
  </cols>
  <sheetData>
    <row r="1" spans="1:41" x14ac:dyDescent="0.25">
      <c r="A1" s="213"/>
      <c r="B1" s="213"/>
      <c r="C1" s="213"/>
      <c r="D1" s="213"/>
      <c r="E1" s="213"/>
      <c r="F1" s="213"/>
      <c r="G1" s="213"/>
      <c r="H1" s="213"/>
      <c r="I1" s="214"/>
      <c r="J1" s="213"/>
      <c r="K1" s="213"/>
      <c r="L1" s="213"/>
      <c r="M1" s="213"/>
      <c r="N1" s="213"/>
      <c r="O1" s="213"/>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row>
    <row r="2" spans="1:41" s="136" customFormat="1" ht="21" x14ac:dyDescent="0.25">
      <c r="A2" s="215"/>
      <c r="B2" s="359" t="s">
        <v>231</v>
      </c>
      <c r="C2" s="359"/>
      <c r="D2" s="359"/>
      <c r="E2" s="359"/>
      <c r="F2" s="359"/>
      <c r="G2" s="359"/>
      <c r="H2" s="359"/>
      <c r="I2" s="359"/>
      <c r="J2" s="215"/>
      <c r="K2" s="215"/>
      <c r="L2" s="215"/>
      <c r="M2" s="215"/>
      <c r="N2" s="215"/>
      <c r="O2" s="215"/>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row>
    <row r="3" spans="1:41" s="136" customFormat="1" ht="21" x14ac:dyDescent="0.25">
      <c r="A3" s="215"/>
      <c r="B3" s="359" t="s">
        <v>131</v>
      </c>
      <c r="C3" s="359"/>
      <c r="D3" s="359"/>
      <c r="E3" s="359"/>
      <c r="F3" s="359"/>
      <c r="G3" s="359"/>
      <c r="H3" s="359"/>
      <c r="I3" s="359"/>
      <c r="J3" s="215"/>
      <c r="K3" s="215"/>
      <c r="L3" s="215"/>
      <c r="M3" s="215"/>
      <c r="N3" s="215"/>
      <c r="O3" s="215"/>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row>
    <row r="4" spans="1:41" s="136" customFormat="1" ht="6" customHeight="1" x14ac:dyDescent="0.25">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row>
    <row r="5" spans="1:41" s="136" customFormat="1" ht="21" x14ac:dyDescent="0.25">
      <c r="A5" s="216"/>
      <c r="B5" s="216"/>
      <c r="C5" s="216"/>
      <c r="D5" s="221"/>
      <c r="E5" s="360" t="s">
        <v>178</v>
      </c>
      <c r="F5" s="360"/>
      <c r="G5" s="360"/>
      <c r="H5" s="360"/>
      <c r="I5" s="360"/>
      <c r="J5" s="216"/>
      <c r="K5" s="332" t="s">
        <v>261</v>
      </c>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row>
    <row r="6" spans="1:41" s="137" customFormat="1" ht="18" customHeight="1" x14ac:dyDescent="0.25">
      <c r="A6" s="217"/>
      <c r="B6" s="403" t="s">
        <v>179</v>
      </c>
      <c r="C6" s="403"/>
      <c r="D6" s="403"/>
      <c r="E6" s="403"/>
      <c r="F6" s="403"/>
      <c r="G6" s="403"/>
      <c r="H6" s="403"/>
      <c r="I6" s="403"/>
      <c r="J6" s="217"/>
      <c r="K6" s="326" t="s">
        <v>247</v>
      </c>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row>
    <row r="7" spans="1:41" s="137" customFormat="1" ht="14.25" customHeight="1" x14ac:dyDescent="0.25">
      <c r="A7" s="217"/>
      <c r="B7" s="403"/>
      <c r="C7" s="403"/>
      <c r="D7" s="403"/>
      <c r="E7" s="403"/>
      <c r="F7" s="403"/>
      <c r="G7" s="403"/>
      <c r="H7" s="403"/>
      <c r="I7" s="403"/>
      <c r="J7" s="217"/>
      <c r="K7" s="352" t="s">
        <v>296</v>
      </c>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row>
    <row r="8" spans="1:41" s="137" customFormat="1" ht="14.25" customHeight="1" x14ac:dyDescent="0.25">
      <c r="A8" s="217"/>
      <c r="B8" s="145"/>
      <c r="C8" s="145"/>
      <c r="D8" s="145"/>
      <c r="E8" s="145"/>
      <c r="F8" s="145"/>
      <c r="G8" s="145"/>
      <c r="H8" s="145"/>
      <c r="I8" s="145"/>
      <c r="J8" s="217"/>
      <c r="K8" s="352"/>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row>
    <row r="9" spans="1:41" s="137" customFormat="1" ht="14.25" customHeight="1" x14ac:dyDescent="0.25">
      <c r="A9" s="217"/>
      <c r="B9" s="425" t="s">
        <v>180</v>
      </c>
      <c r="C9" s="425"/>
      <c r="D9" s="145"/>
      <c r="E9" s="145"/>
      <c r="F9" s="145"/>
      <c r="G9" s="232" t="s">
        <v>11</v>
      </c>
      <c r="H9" s="145"/>
      <c r="I9" s="145"/>
      <c r="J9" s="217"/>
      <c r="K9" s="352" t="s">
        <v>297</v>
      </c>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row>
    <row r="10" spans="1:41" s="137" customFormat="1" ht="14.25" customHeight="1" x14ac:dyDescent="0.25">
      <c r="A10" s="217"/>
      <c r="B10" s="145"/>
      <c r="C10" s="145"/>
      <c r="D10" s="145"/>
      <c r="E10" s="145"/>
      <c r="F10" s="145"/>
      <c r="G10" s="426" t="s">
        <v>186</v>
      </c>
      <c r="H10" s="426"/>
      <c r="I10" s="426"/>
      <c r="J10" s="217"/>
      <c r="K10" s="352"/>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row>
    <row r="11" spans="1:41" s="137" customFormat="1" ht="14.25" customHeight="1" x14ac:dyDescent="0.25">
      <c r="A11" s="217"/>
      <c r="B11" s="403" t="str">
        <f ca="1">"Bis zum erstmaligen Vorliegen eines rechtskräftigen Einkommensteuerbescheides gilt für das Jahr "&amp;'Verknüpfungen 1'!A6&amp;" als vorläufige Beitragsgrundlage eine Mindestpauschale von EUR "&amp;VLOOKUP('Verknüpfungen 1'!A2,Wertedatenbank!A3:F21,Wertedatenbank!F22)&amp;"."</f>
        <v>Bis zum erstmaligen Vorliegen eines rechtskräftigen Einkommensteuerbescheides gilt für das Jahr 2024 als vorläufige Beitragsgrundlage eine Mindestpauschale von EUR 956,7.</v>
      </c>
      <c r="C11" s="403"/>
      <c r="D11" s="403"/>
      <c r="E11" s="403"/>
      <c r="F11" s="145"/>
      <c r="G11" s="426"/>
      <c r="H11" s="426"/>
      <c r="I11" s="426"/>
      <c r="J11" s="217"/>
      <c r="K11" s="355" t="s">
        <v>287</v>
      </c>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row>
    <row r="12" spans="1:41" s="137" customFormat="1" ht="14.25" customHeight="1" x14ac:dyDescent="0.25">
      <c r="A12" s="217"/>
      <c r="B12" s="403"/>
      <c r="C12" s="403"/>
      <c r="D12" s="403"/>
      <c r="E12" s="403"/>
      <c r="F12" s="145"/>
      <c r="G12" s="170"/>
      <c r="H12" s="170"/>
      <c r="I12" s="170"/>
      <c r="J12" s="217"/>
      <c r="K12" s="352"/>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row>
    <row r="13" spans="1:41" s="137" customFormat="1" ht="14.25" customHeight="1" x14ac:dyDescent="0.25">
      <c r="A13" s="217"/>
      <c r="B13" s="145"/>
      <c r="C13" s="145"/>
      <c r="D13" s="145"/>
      <c r="E13" s="145"/>
      <c r="F13" s="145"/>
      <c r="G13" s="145"/>
      <c r="H13" s="145"/>
      <c r="I13" s="145"/>
      <c r="J13" s="217"/>
      <c r="K13" s="352"/>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row>
    <row r="14" spans="1:41" s="137" customFormat="1" ht="14.25" customHeight="1" x14ac:dyDescent="0.25">
      <c r="A14" s="217"/>
      <c r="B14" s="384" t="str">
        <f>"Liegt bereits ein rechtskräftiger Einkommensteuerbescheid für ein vorangegangenes Kalenderjahr vor, sind die darin ausgewiesenen auf Nebentätigkeiten entfallenden Einkünfte, zuzüglich der im Beitragsjahr vorgeschriebenen Beiträge zur Kranken-"&amp;" und Pensionsversicherung, als vorläufige Beitragsgrundlage heranzuziehen, mindestens jedoch die Mindestpauschale von EUR "&amp;VLOOKUP('Verknüpfungen 1'!A2,Wertedatenbank!A3:F21,Wertedatenbank!F22)&amp;"."</f>
        <v>Liegt bereits ein rechtskräftiger Einkommensteuerbescheid für ein vorangegangenes Kalenderjahr vor, sind die darin ausgewiesenen auf Nebentätigkeiten entfallenden Einkünfte, zuzüglich der im Beitragsjahr vorgeschriebenen Beiträge zur Kranken- und Pensionsversicherung, als vorläufige Beitragsgrundlage heranzuziehen, mindestens jedoch die Mindestpauschale von EUR 956,7.</v>
      </c>
      <c r="C14" s="384"/>
      <c r="D14" s="384"/>
      <c r="E14" s="384"/>
      <c r="F14" s="384"/>
      <c r="G14" s="384"/>
      <c r="H14" s="384"/>
      <c r="I14" s="384"/>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row>
    <row r="15" spans="1:41" s="137" customFormat="1" ht="14.25" customHeight="1" x14ac:dyDescent="0.25">
      <c r="A15" s="217"/>
      <c r="B15" s="384"/>
      <c r="C15" s="384"/>
      <c r="D15" s="384"/>
      <c r="E15" s="384"/>
      <c r="F15" s="384"/>
      <c r="G15" s="384"/>
      <c r="H15" s="384"/>
      <c r="I15" s="384"/>
      <c r="J15" s="217"/>
      <c r="K15" s="243" t="s">
        <v>311</v>
      </c>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row>
    <row r="16" spans="1:41" s="137" customFormat="1" ht="14.25" customHeight="1" x14ac:dyDescent="0.25">
      <c r="A16" s="217"/>
      <c r="B16" s="384"/>
      <c r="C16" s="384"/>
      <c r="D16" s="384"/>
      <c r="E16" s="384"/>
      <c r="F16" s="384"/>
      <c r="G16" s="384"/>
      <c r="H16" s="384"/>
      <c r="I16" s="384"/>
      <c r="J16" s="217"/>
      <c r="K16" s="243" t="s">
        <v>310</v>
      </c>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row>
    <row r="17" spans="1:41" s="137" customFormat="1" ht="14.25" customHeight="1" x14ac:dyDescent="0.25">
      <c r="A17" s="217"/>
      <c r="B17" s="138"/>
      <c r="C17" s="138"/>
      <c r="D17" s="138"/>
      <c r="E17" s="138"/>
      <c r="F17" s="138"/>
      <c r="G17" s="138"/>
      <c r="H17" s="138"/>
      <c r="I17" s="138"/>
      <c r="J17" s="217"/>
      <c r="K17" s="352" t="s">
        <v>257</v>
      </c>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row>
    <row r="18" spans="1:41" s="137" customFormat="1" ht="14.25" customHeight="1" x14ac:dyDescent="0.25">
      <c r="A18" s="217"/>
      <c r="B18" s="428" t="s">
        <v>181</v>
      </c>
      <c r="C18" s="428"/>
      <c r="D18" s="138"/>
      <c r="E18" s="138"/>
      <c r="F18" s="138"/>
      <c r="G18" s="138"/>
      <c r="H18" s="138"/>
      <c r="I18" s="138"/>
      <c r="J18" s="217"/>
      <c r="K18" s="352"/>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row>
    <row r="19" spans="1:41" s="137" customFormat="1" ht="14.25" customHeight="1" x14ac:dyDescent="0.25">
      <c r="A19" s="217"/>
      <c r="B19" s="138"/>
      <c r="C19" s="138"/>
      <c r="D19" s="138"/>
      <c r="E19" s="138"/>
      <c r="F19" s="138"/>
      <c r="G19" s="138"/>
      <c r="H19" s="138"/>
      <c r="I19" s="138"/>
      <c r="J19" s="217"/>
      <c r="K19" s="352" t="s">
        <v>318</v>
      </c>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row>
    <row r="20" spans="1:41" s="137" customFormat="1" ht="14.25" customHeight="1" x14ac:dyDescent="0.25">
      <c r="A20" s="217"/>
      <c r="B20" s="384" t="s">
        <v>184</v>
      </c>
      <c r="C20" s="384"/>
      <c r="D20" s="384"/>
      <c r="E20" s="384"/>
      <c r="F20" s="384"/>
      <c r="G20" s="384"/>
      <c r="H20" s="384"/>
      <c r="I20" s="384"/>
      <c r="J20" s="217"/>
      <c r="K20" s="352"/>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row>
    <row r="21" spans="1:41" s="137" customFormat="1" ht="14.25" customHeight="1" x14ac:dyDescent="0.25">
      <c r="A21" s="217"/>
      <c r="B21" s="384"/>
      <c r="C21" s="384"/>
      <c r="D21" s="384"/>
      <c r="E21" s="384"/>
      <c r="F21" s="384"/>
      <c r="G21" s="384"/>
      <c r="H21" s="384"/>
      <c r="I21" s="384"/>
      <c r="J21" s="217"/>
      <c r="K21" s="352" t="s">
        <v>293</v>
      </c>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row>
    <row r="22" spans="1:41" s="137" customFormat="1" ht="14.25" customHeight="1" x14ac:dyDescent="0.25">
      <c r="A22" s="217"/>
      <c r="B22" s="384"/>
      <c r="C22" s="384"/>
      <c r="D22" s="384"/>
      <c r="E22" s="384"/>
      <c r="F22" s="384"/>
      <c r="G22" s="384"/>
      <c r="H22" s="384"/>
      <c r="I22" s="384"/>
      <c r="J22" s="217"/>
      <c r="K22" s="352"/>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row>
    <row r="23" spans="1:41" s="137" customFormat="1" ht="14.25" customHeight="1" x14ac:dyDescent="0.25">
      <c r="A23" s="217"/>
      <c r="B23" s="155"/>
      <c r="C23" s="155"/>
      <c r="D23" s="155"/>
      <c r="E23" s="155"/>
      <c r="F23" s="155"/>
      <c r="G23" s="155"/>
      <c r="H23" s="155"/>
      <c r="I23" s="155"/>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row>
    <row r="24" spans="1:41" s="137" customFormat="1" ht="14.25" customHeight="1" x14ac:dyDescent="0.25">
      <c r="A24" s="217"/>
      <c r="B24" s="427" t="str">
        <f>"Als Untergrenze für die Beitragsgrundlage kommt jedoch eine Mindestpauschale von EUR  "&amp;VLOOKUP('Verknüpfungen 1'!A2,Wertedatenbank!A3:F21,Wertedatenbank!F22)&amp;" zur Anwendung."</f>
        <v>Als Untergrenze für die Beitragsgrundlage kommt jedoch eine Mindestpauschale von EUR  956,7 zur Anwendung.</v>
      </c>
      <c r="C24" s="427"/>
      <c r="D24" s="427"/>
      <c r="E24" s="427"/>
      <c r="F24" s="427"/>
      <c r="G24" s="427"/>
      <c r="H24" s="427"/>
      <c r="I24" s="427"/>
      <c r="J24" s="217"/>
      <c r="K24" s="243" t="s">
        <v>261</v>
      </c>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row>
    <row r="25" spans="1:41" s="137" customFormat="1" ht="14.25" customHeight="1" x14ac:dyDescent="0.25">
      <c r="A25" s="217"/>
      <c r="B25" s="154"/>
      <c r="C25" s="138"/>
      <c r="D25" s="138"/>
      <c r="E25" s="138"/>
      <c r="F25" s="138"/>
      <c r="G25" s="138"/>
      <c r="H25" s="138"/>
      <c r="I25" s="138"/>
      <c r="J25" s="217"/>
      <c r="K25" s="243" t="s">
        <v>309</v>
      </c>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row>
    <row r="26" spans="1:41" s="137" customFormat="1" ht="14.25" customHeight="1" x14ac:dyDescent="0.25">
      <c r="A26" s="217"/>
      <c r="B26" s="384" t="str">
        <f>"Auch die Mitteilung der Finanzbehörden, dass keine für die Einkommensteuer maßgeblichen Einkünfte aufgrund von Nebentätigkeiten gegeben sind, ist dem Vorliegen eines Einkommensteuerbescheides gleichzuhalten. In diesen Fällen kommt ebenfalls eine"&amp;" Mindestpauschale in Höhe von EUR "&amp;VLOOKUP('Verknüpfungen 1'!A2,Wertedatenbank!A3:F21,Wertedatenbank!F22)&amp;" zur Anwendung."</f>
        <v>Auch die Mitteilung der Finanzbehörden, dass keine für die Einkommensteuer maßgeblichen Einkünfte aufgrund von Nebentätigkeiten gegeben sind, ist dem Vorliegen eines Einkommensteuerbescheides gleichzuhalten. In diesen Fällen kommt ebenfalls eine Mindestpauschale in Höhe von EUR 956,7 zur Anwendung.</v>
      </c>
      <c r="C26" s="384"/>
      <c r="D26" s="384"/>
      <c r="E26" s="384"/>
      <c r="F26" s="384"/>
      <c r="G26" s="384"/>
      <c r="H26" s="384"/>
      <c r="I26" s="384"/>
      <c r="J26" s="217"/>
      <c r="K26" s="352" t="s">
        <v>318</v>
      </c>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row>
    <row r="27" spans="1:41" s="137" customFormat="1" ht="14.25" customHeight="1" x14ac:dyDescent="0.25">
      <c r="A27" s="217"/>
      <c r="B27" s="384"/>
      <c r="C27" s="384"/>
      <c r="D27" s="384"/>
      <c r="E27" s="384"/>
      <c r="F27" s="384"/>
      <c r="G27" s="384"/>
      <c r="H27" s="384"/>
      <c r="I27" s="384"/>
      <c r="J27" s="217"/>
      <c r="K27" s="352"/>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row>
    <row r="28" spans="1:41" s="137" customFormat="1" ht="14.25" customHeight="1" x14ac:dyDescent="0.25">
      <c r="A28" s="217"/>
      <c r="B28" s="155"/>
      <c r="C28" s="155"/>
      <c r="D28" s="155"/>
      <c r="E28" s="155"/>
      <c r="F28" s="155"/>
      <c r="G28" s="155"/>
      <c r="H28" s="155"/>
      <c r="I28" s="155"/>
      <c r="J28" s="217"/>
      <c r="K28" s="352"/>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row>
    <row r="29" spans="1:41" s="137" customFormat="1" ht="14.25" customHeight="1" x14ac:dyDescent="0.25">
      <c r="A29" s="217"/>
      <c r="B29" s="384" t="s">
        <v>185</v>
      </c>
      <c r="C29" s="384"/>
      <c r="D29" s="384"/>
      <c r="E29" s="384"/>
      <c r="F29" s="384"/>
      <c r="G29" s="384"/>
      <c r="H29" s="384"/>
      <c r="I29" s="384"/>
      <c r="J29" s="217"/>
      <c r="K29" s="352"/>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row>
    <row r="30" spans="1:41" s="137" customFormat="1" ht="14.25" customHeight="1" x14ac:dyDescent="0.25">
      <c r="A30" s="217"/>
      <c r="B30" s="152"/>
      <c r="C30" s="152"/>
      <c r="D30" s="152"/>
      <c r="E30" s="152"/>
      <c r="F30" s="152"/>
      <c r="G30" s="152"/>
      <c r="H30" s="152"/>
      <c r="I30" s="152"/>
      <c r="J30" s="217"/>
      <c r="K30" s="308"/>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row>
    <row r="31" spans="1:41" s="137" customFormat="1" ht="14.25" customHeight="1" x14ac:dyDescent="0.25">
      <c r="A31" s="217"/>
      <c r="B31" s="384" t="s">
        <v>187</v>
      </c>
      <c r="C31" s="384"/>
      <c r="D31" s="384"/>
      <c r="E31" s="384"/>
      <c r="F31" s="384"/>
      <c r="G31" s="384"/>
      <c r="H31" s="384"/>
      <c r="I31" s="384"/>
      <c r="J31" s="217"/>
      <c r="K31" s="334"/>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row>
    <row r="32" spans="1:41" s="137" customFormat="1" ht="14.25" customHeight="1" x14ac:dyDescent="0.25">
      <c r="A32" s="217"/>
      <c r="B32" s="384"/>
      <c r="C32" s="384"/>
      <c r="D32" s="384"/>
      <c r="E32" s="384"/>
      <c r="F32" s="384"/>
      <c r="G32" s="384"/>
      <c r="H32" s="384"/>
      <c r="I32" s="384"/>
      <c r="J32" s="217"/>
      <c r="K32" s="334"/>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row>
    <row r="33" spans="1:41" ht="4.5" customHeight="1" x14ac:dyDescent="0.25">
      <c r="A33" s="218"/>
      <c r="B33" s="138"/>
      <c r="C33" s="138"/>
      <c r="D33" s="138"/>
      <c r="E33" s="138"/>
      <c r="F33" s="138"/>
      <c r="G33" s="138"/>
      <c r="H33" s="138"/>
      <c r="I33" s="138"/>
      <c r="J33" s="218"/>
      <c r="K33" s="334"/>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row>
    <row r="34" spans="1:41" s="14" customFormat="1" ht="30" customHeight="1" x14ac:dyDescent="0.25">
      <c r="A34" s="219"/>
      <c r="B34" s="397" t="s">
        <v>298</v>
      </c>
      <c r="C34" s="397"/>
      <c r="D34" s="397"/>
      <c r="E34" s="397"/>
      <c r="F34" s="397"/>
      <c r="G34" s="397"/>
      <c r="H34" s="397"/>
      <c r="I34" s="397"/>
      <c r="J34" s="217"/>
      <c r="K34" s="334"/>
      <c r="L34" s="217"/>
      <c r="M34" s="217"/>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row>
    <row r="35" spans="1:41" ht="45" customHeight="1" x14ac:dyDescent="0.25">
      <c r="A35" s="218"/>
      <c r="B35" s="218"/>
      <c r="C35" s="218"/>
      <c r="D35" s="218"/>
      <c r="E35" s="218"/>
      <c r="F35" s="218"/>
      <c r="G35" s="218"/>
      <c r="H35" s="218"/>
      <c r="I35" s="220"/>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row>
    <row r="36" spans="1:41" ht="45" customHeight="1" x14ac:dyDescent="0.25">
      <c r="A36" s="218"/>
      <c r="B36" s="218"/>
      <c r="C36" s="218"/>
      <c r="D36" s="218"/>
      <c r="E36" s="218"/>
      <c r="F36" s="218"/>
      <c r="G36" s="218"/>
      <c r="H36" s="218"/>
      <c r="I36" s="220"/>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row>
    <row r="37" spans="1:41" ht="45" customHeight="1" x14ac:dyDescent="0.25">
      <c r="A37" s="218"/>
      <c r="B37" s="218"/>
      <c r="C37" s="218"/>
      <c r="D37" s="218"/>
      <c r="E37" s="218"/>
      <c r="F37" s="218"/>
      <c r="G37" s="218"/>
      <c r="H37" s="218"/>
      <c r="I37" s="220"/>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row>
    <row r="38" spans="1:41" ht="45" customHeight="1" x14ac:dyDescent="0.25">
      <c r="A38" s="218"/>
      <c r="B38" s="218"/>
      <c r="C38" s="218"/>
      <c r="D38" s="218"/>
      <c r="E38" s="218"/>
      <c r="F38" s="218"/>
      <c r="G38" s="218"/>
      <c r="H38" s="218"/>
      <c r="I38" s="220"/>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row>
    <row r="39" spans="1:41" ht="45" customHeight="1" x14ac:dyDescent="0.25">
      <c r="A39" s="218"/>
      <c r="B39" s="218"/>
      <c r="C39" s="218"/>
      <c r="D39" s="218"/>
      <c r="E39" s="218"/>
      <c r="F39" s="218"/>
      <c r="G39" s="218"/>
      <c r="H39" s="218"/>
      <c r="I39" s="220"/>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row>
    <row r="40" spans="1:41" ht="45" customHeight="1" x14ac:dyDescent="0.25">
      <c r="A40" s="218"/>
      <c r="B40" s="218"/>
      <c r="C40" s="218"/>
      <c r="D40" s="218"/>
      <c r="E40" s="218"/>
      <c r="F40" s="218"/>
      <c r="G40" s="218"/>
      <c r="H40" s="218"/>
      <c r="I40" s="220"/>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row>
    <row r="41" spans="1:41" ht="45" customHeight="1" x14ac:dyDescent="0.25">
      <c r="A41" s="218"/>
      <c r="B41" s="218"/>
      <c r="C41" s="218"/>
      <c r="D41" s="218"/>
      <c r="E41" s="218"/>
      <c r="F41" s="218"/>
      <c r="G41" s="218"/>
      <c r="H41" s="218"/>
      <c r="I41" s="220"/>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row>
    <row r="42" spans="1:41" ht="45" customHeight="1" x14ac:dyDescent="0.25">
      <c r="A42" s="218"/>
      <c r="B42" s="218"/>
      <c r="C42" s="218"/>
      <c r="D42" s="218"/>
      <c r="E42" s="218"/>
      <c r="F42" s="218"/>
      <c r="G42" s="218"/>
      <c r="H42" s="218"/>
      <c r="I42" s="220"/>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row>
    <row r="43" spans="1:41" ht="45" customHeight="1" x14ac:dyDescent="0.25">
      <c r="A43" s="218"/>
      <c r="B43" s="218"/>
      <c r="C43" s="218"/>
      <c r="D43" s="218"/>
      <c r="E43" s="218"/>
      <c r="F43" s="218"/>
      <c r="G43" s="218"/>
      <c r="H43" s="218"/>
      <c r="I43" s="220"/>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row>
    <row r="44" spans="1:41" ht="45" customHeight="1" x14ac:dyDescent="0.25">
      <c r="A44" s="218"/>
      <c r="B44" s="218"/>
      <c r="C44" s="218"/>
      <c r="D44" s="218"/>
      <c r="E44" s="218"/>
      <c r="F44" s="218"/>
      <c r="G44" s="218"/>
      <c r="H44" s="218"/>
      <c r="I44" s="220"/>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row>
    <row r="45" spans="1:41" ht="45" customHeight="1" x14ac:dyDescent="0.25">
      <c r="A45" s="218"/>
      <c r="B45" s="218"/>
      <c r="C45" s="218"/>
      <c r="D45" s="218"/>
      <c r="E45" s="218"/>
      <c r="F45" s="218"/>
      <c r="G45" s="218"/>
      <c r="H45" s="218"/>
      <c r="I45" s="220"/>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row>
    <row r="46" spans="1:41" ht="45" customHeight="1" x14ac:dyDescent="0.25">
      <c r="A46" s="218"/>
      <c r="B46" s="218"/>
      <c r="C46" s="218"/>
      <c r="D46" s="218"/>
      <c r="E46" s="218"/>
      <c r="F46" s="218"/>
      <c r="G46" s="218"/>
      <c r="H46" s="218"/>
      <c r="I46" s="220"/>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row>
    <row r="47" spans="1:41" ht="45" customHeight="1" x14ac:dyDescent="0.25">
      <c r="A47" s="218"/>
      <c r="B47" s="218"/>
      <c r="C47" s="218"/>
      <c r="D47" s="218"/>
      <c r="E47" s="218"/>
      <c r="F47" s="218"/>
      <c r="G47" s="218"/>
      <c r="H47" s="218"/>
      <c r="I47" s="220"/>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row>
    <row r="48" spans="1:41" ht="45" customHeight="1" x14ac:dyDescent="0.25">
      <c r="A48" s="218"/>
      <c r="B48" s="218"/>
      <c r="C48" s="218"/>
      <c r="D48" s="218"/>
      <c r="E48" s="218"/>
      <c r="F48" s="218"/>
      <c r="G48" s="218"/>
      <c r="H48" s="218"/>
      <c r="I48" s="220"/>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row>
    <row r="49" spans="1:41" ht="45" customHeight="1" x14ac:dyDescent="0.25">
      <c r="A49" s="218"/>
      <c r="B49" s="218"/>
      <c r="C49" s="218"/>
      <c r="D49" s="218"/>
      <c r="E49" s="218"/>
      <c r="F49" s="218"/>
      <c r="G49" s="218"/>
      <c r="H49" s="218"/>
      <c r="I49" s="220"/>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row>
    <row r="50" spans="1:41" ht="45" customHeight="1" x14ac:dyDescent="0.25">
      <c r="A50" s="218"/>
      <c r="B50" s="218"/>
      <c r="C50" s="218"/>
      <c r="D50" s="218"/>
      <c r="E50" s="218"/>
      <c r="F50" s="218"/>
      <c r="G50" s="218"/>
      <c r="H50" s="218"/>
      <c r="I50" s="220"/>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row r="51" spans="1:41" ht="45" customHeight="1" x14ac:dyDescent="0.25">
      <c r="A51" s="218"/>
      <c r="B51" s="218"/>
      <c r="C51" s="218"/>
      <c r="D51" s="218"/>
      <c r="E51" s="218"/>
      <c r="F51" s="218"/>
      <c r="G51" s="218"/>
      <c r="H51" s="218"/>
      <c r="I51" s="220"/>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row>
    <row r="52" spans="1:41" ht="45" customHeight="1" x14ac:dyDescent="0.25">
      <c r="A52" s="218"/>
      <c r="B52" s="218"/>
      <c r="C52" s="218"/>
      <c r="D52" s="218"/>
      <c r="E52" s="218"/>
      <c r="F52" s="218"/>
      <c r="G52" s="218"/>
      <c r="H52" s="218"/>
      <c r="I52" s="220"/>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row>
    <row r="53" spans="1:41" ht="45" customHeight="1" x14ac:dyDescent="0.25">
      <c r="A53" s="218"/>
      <c r="B53" s="218"/>
      <c r="C53" s="218"/>
      <c r="D53" s="218"/>
      <c r="E53" s="218"/>
      <c r="F53" s="218"/>
      <c r="G53" s="218"/>
      <c r="H53" s="218"/>
      <c r="I53" s="220"/>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row>
    <row r="54" spans="1:41" ht="45" customHeight="1" x14ac:dyDescent="0.25">
      <c r="A54" s="218"/>
      <c r="B54" s="218"/>
      <c r="C54" s="218"/>
      <c r="D54" s="218"/>
      <c r="E54" s="218"/>
      <c r="F54" s="218"/>
      <c r="G54" s="218"/>
      <c r="H54" s="218"/>
      <c r="I54" s="220"/>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row>
    <row r="55" spans="1:41" ht="45" customHeight="1" x14ac:dyDescent="0.25">
      <c r="A55" s="218"/>
      <c r="B55" s="218"/>
      <c r="C55" s="218"/>
      <c r="D55" s="218"/>
      <c r="E55" s="218"/>
      <c r="F55" s="218"/>
      <c r="G55" s="218"/>
      <c r="H55" s="218"/>
      <c r="I55" s="220"/>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row>
    <row r="56" spans="1:41" ht="45" customHeight="1" x14ac:dyDescent="0.25">
      <c r="A56" s="218"/>
      <c r="B56" s="218"/>
      <c r="C56" s="218"/>
      <c r="D56" s="218"/>
      <c r="E56" s="218"/>
      <c r="F56" s="218"/>
      <c r="G56" s="218"/>
      <c r="H56" s="218"/>
      <c r="I56" s="220"/>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row>
    <row r="57" spans="1:41" ht="45" customHeight="1" x14ac:dyDescent="0.25">
      <c r="A57" s="218"/>
      <c r="B57" s="218"/>
      <c r="C57" s="218"/>
      <c r="D57" s="218"/>
      <c r="E57" s="218"/>
      <c r="F57" s="218"/>
      <c r="G57" s="218"/>
      <c r="H57" s="218"/>
      <c r="I57" s="220"/>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row>
    <row r="58" spans="1:41" ht="45" customHeight="1" x14ac:dyDescent="0.25">
      <c r="A58" s="218"/>
      <c r="B58" s="218"/>
      <c r="C58" s="218"/>
      <c r="D58" s="218"/>
      <c r="E58" s="218"/>
      <c r="F58" s="218"/>
      <c r="G58" s="218"/>
      <c r="H58" s="218"/>
      <c r="I58" s="220"/>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row>
    <row r="59" spans="1:41" ht="45" customHeight="1" x14ac:dyDescent="0.25">
      <c r="A59" s="218"/>
      <c r="B59" s="218"/>
      <c r="C59" s="218"/>
      <c r="D59" s="218"/>
      <c r="E59" s="218"/>
      <c r="F59" s="218"/>
      <c r="G59" s="218"/>
      <c r="H59" s="218"/>
      <c r="I59" s="220"/>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row>
    <row r="60" spans="1:41" ht="45" customHeight="1" x14ac:dyDescent="0.25">
      <c r="A60" s="218"/>
      <c r="B60" s="218"/>
      <c r="C60" s="218"/>
      <c r="D60" s="218"/>
      <c r="E60" s="218"/>
      <c r="F60" s="218"/>
      <c r="G60" s="218"/>
      <c r="H60" s="218"/>
      <c r="I60" s="220"/>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row>
    <row r="61" spans="1:41" ht="45" customHeight="1" x14ac:dyDescent="0.25">
      <c r="A61" s="218"/>
      <c r="B61" s="218"/>
      <c r="C61" s="218"/>
      <c r="D61" s="218"/>
      <c r="E61" s="218"/>
      <c r="F61" s="218"/>
      <c r="G61" s="218"/>
      <c r="H61" s="218"/>
      <c r="I61" s="220"/>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row>
    <row r="62" spans="1:41" ht="45" customHeight="1" x14ac:dyDescent="0.25">
      <c r="A62" s="218"/>
      <c r="B62" s="218"/>
      <c r="C62" s="218"/>
      <c r="D62" s="218"/>
      <c r="E62" s="218"/>
      <c r="F62" s="218"/>
      <c r="G62" s="218"/>
      <c r="H62" s="218"/>
      <c r="I62" s="220"/>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row>
    <row r="63" spans="1:41" ht="45" customHeight="1" x14ac:dyDescent="0.25">
      <c r="A63" s="218"/>
      <c r="B63" s="218"/>
      <c r="C63" s="218"/>
      <c r="D63" s="218"/>
      <c r="E63" s="218"/>
      <c r="F63" s="218"/>
      <c r="G63" s="218"/>
      <c r="H63" s="218"/>
      <c r="I63" s="220"/>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row>
    <row r="64" spans="1:41" ht="45" customHeight="1" x14ac:dyDescent="0.25">
      <c r="A64" s="218"/>
      <c r="B64" s="218"/>
      <c r="C64" s="218"/>
      <c r="D64" s="218"/>
      <c r="E64" s="218"/>
      <c r="F64" s="218"/>
      <c r="G64" s="218"/>
      <c r="H64" s="218"/>
      <c r="I64" s="220"/>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row>
    <row r="65" spans="1:41" ht="45" customHeight="1" x14ac:dyDescent="0.25">
      <c r="A65" s="218"/>
      <c r="B65" s="218"/>
      <c r="C65" s="218"/>
      <c r="D65" s="218"/>
      <c r="E65" s="218"/>
      <c r="F65" s="218"/>
      <c r="G65" s="218"/>
      <c r="H65" s="218"/>
      <c r="I65" s="220"/>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row>
    <row r="66" spans="1:41" ht="45" customHeight="1" x14ac:dyDescent="0.25">
      <c r="A66" s="218"/>
      <c r="B66" s="218"/>
      <c r="C66" s="218"/>
      <c r="D66" s="218"/>
      <c r="E66" s="218"/>
      <c r="F66" s="218"/>
      <c r="G66" s="218"/>
      <c r="H66" s="218"/>
      <c r="I66" s="220"/>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row>
    <row r="67" spans="1:41" ht="45" customHeight="1" x14ac:dyDescent="0.25">
      <c r="A67" s="218"/>
      <c r="B67" s="218"/>
      <c r="C67" s="218"/>
      <c r="D67" s="218"/>
      <c r="E67" s="218"/>
      <c r="F67" s="218"/>
      <c r="G67" s="218"/>
      <c r="H67" s="218"/>
      <c r="I67" s="220"/>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row>
    <row r="68" spans="1:41" ht="45" customHeight="1" x14ac:dyDescent="0.25">
      <c r="A68" s="218"/>
      <c r="B68" s="218"/>
      <c r="C68" s="218"/>
      <c r="D68" s="218"/>
      <c r="E68" s="218"/>
      <c r="F68" s="218"/>
      <c r="G68" s="218"/>
      <c r="H68" s="218"/>
      <c r="I68" s="220"/>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row>
    <row r="69" spans="1:41" ht="45" customHeight="1" x14ac:dyDescent="0.25">
      <c r="A69" s="218"/>
      <c r="B69" s="218"/>
      <c r="C69" s="218"/>
      <c r="D69" s="218"/>
      <c r="E69" s="218"/>
      <c r="F69" s="218"/>
      <c r="G69" s="218"/>
      <c r="H69" s="218"/>
      <c r="I69" s="220"/>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row>
    <row r="70" spans="1:41" ht="45" customHeight="1" x14ac:dyDescent="0.25">
      <c r="A70" s="218"/>
      <c r="B70" s="218"/>
      <c r="C70" s="218"/>
      <c r="D70" s="218"/>
      <c r="E70" s="218"/>
      <c r="F70" s="218"/>
      <c r="G70" s="218"/>
      <c r="H70" s="218"/>
      <c r="I70" s="220"/>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row>
    <row r="71" spans="1:41" ht="45" customHeight="1" x14ac:dyDescent="0.25">
      <c r="A71" s="218"/>
      <c r="B71" s="218"/>
      <c r="C71" s="218"/>
      <c r="D71" s="218"/>
      <c r="E71" s="218"/>
      <c r="F71" s="218"/>
      <c r="G71" s="218"/>
      <c r="H71" s="218"/>
      <c r="I71" s="220"/>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row>
    <row r="72" spans="1:41" ht="45" customHeight="1" x14ac:dyDescent="0.25">
      <c r="A72" s="218"/>
      <c r="B72" s="218"/>
      <c r="C72" s="218"/>
      <c r="D72" s="218"/>
      <c r="E72" s="218"/>
      <c r="F72" s="218"/>
      <c r="G72" s="218"/>
      <c r="H72" s="218"/>
      <c r="I72" s="220"/>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row>
    <row r="73" spans="1:41" ht="45" customHeight="1" x14ac:dyDescent="0.25">
      <c r="A73" s="218"/>
      <c r="B73" s="218"/>
      <c r="C73" s="218"/>
      <c r="D73" s="218"/>
      <c r="E73" s="218"/>
      <c r="F73" s="218"/>
      <c r="G73" s="218"/>
      <c r="H73" s="218"/>
      <c r="I73" s="220"/>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row>
    <row r="74" spans="1:41" ht="45" customHeight="1" x14ac:dyDescent="0.25">
      <c r="A74" s="218"/>
      <c r="B74" s="218"/>
      <c r="C74" s="218"/>
      <c r="D74" s="218"/>
      <c r="E74" s="218"/>
      <c r="F74" s="218"/>
      <c r="G74" s="218"/>
      <c r="H74" s="218"/>
      <c r="I74" s="220"/>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row>
    <row r="75" spans="1:41" ht="45" customHeight="1" x14ac:dyDescent="0.25">
      <c r="A75" s="218"/>
      <c r="B75" s="218"/>
      <c r="C75" s="218"/>
      <c r="D75" s="218"/>
      <c r="E75" s="218"/>
      <c r="F75" s="218"/>
      <c r="G75" s="218"/>
      <c r="H75" s="218"/>
      <c r="I75" s="220"/>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row>
    <row r="76" spans="1:41" ht="45" customHeight="1" x14ac:dyDescent="0.25">
      <c r="A76" s="218"/>
      <c r="B76" s="218"/>
      <c r="C76" s="218"/>
      <c r="D76" s="218"/>
      <c r="E76" s="218"/>
      <c r="F76" s="218"/>
      <c r="G76" s="218"/>
      <c r="H76" s="218"/>
      <c r="I76" s="220"/>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row>
    <row r="77" spans="1:41" ht="45" customHeight="1" x14ac:dyDescent="0.25">
      <c r="A77" s="218"/>
      <c r="B77" s="218"/>
      <c r="C77" s="218"/>
      <c r="D77" s="218"/>
      <c r="E77" s="218"/>
      <c r="F77" s="218"/>
      <c r="G77" s="218"/>
      <c r="H77" s="218"/>
      <c r="I77" s="220"/>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row>
    <row r="78" spans="1:41" ht="45" customHeight="1" x14ac:dyDescent="0.25">
      <c r="A78" s="218"/>
      <c r="B78" s="218"/>
      <c r="C78" s="218"/>
      <c r="D78" s="218"/>
      <c r="E78" s="218"/>
      <c r="F78" s="218"/>
      <c r="G78" s="218"/>
      <c r="H78" s="218"/>
      <c r="I78" s="220"/>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row>
    <row r="79" spans="1:41" ht="45" customHeight="1" x14ac:dyDescent="0.25">
      <c r="A79" s="218"/>
      <c r="B79" s="218"/>
      <c r="C79" s="218"/>
      <c r="D79" s="218"/>
      <c r="E79" s="218"/>
      <c r="F79" s="218"/>
      <c r="G79" s="218"/>
      <c r="H79" s="218"/>
      <c r="I79" s="220"/>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row>
    <row r="80" spans="1:41" ht="45" customHeight="1" x14ac:dyDescent="0.25">
      <c r="A80" s="218"/>
      <c r="B80" s="218"/>
      <c r="C80" s="218"/>
      <c r="D80" s="218"/>
      <c r="E80" s="218"/>
      <c r="F80" s="218"/>
      <c r="G80" s="218"/>
      <c r="H80" s="218"/>
      <c r="I80" s="220"/>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row>
    <row r="81" ht="45" customHeight="1" x14ac:dyDescent="0.25"/>
    <row r="82" ht="45" customHeight="1" x14ac:dyDescent="0.25"/>
    <row r="83" ht="45" customHeight="1" x14ac:dyDescent="0.25"/>
  </sheetData>
  <mergeCells count="23">
    <mergeCell ref="K28:K29"/>
    <mergeCell ref="K19:K20"/>
    <mergeCell ref="K21:K22"/>
    <mergeCell ref="K11:K13"/>
    <mergeCell ref="K17:K18"/>
    <mergeCell ref="K26:K27"/>
    <mergeCell ref="B34:I34"/>
    <mergeCell ref="B31:I32"/>
    <mergeCell ref="B6:I7"/>
    <mergeCell ref="B29:I29"/>
    <mergeCell ref="G10:I11"/>
    <mergeCell ref="B11:E12"/>
    <mergeCell ref="B26:I27"/>
    <mergeCell ref="B24:I24"/>
    <mergeCell ref="B20:I22"/>
    <mergeCell ref="B14:I16"/>
    <mergeCell ref="B18:C18"/>
    <mergeCell ref="K7:K8"/>
    <mergeCell ref="K9:K10"/>
    <mergeCell ref="B2:I2"/>
    <mergeCell ref="B3:I3"/>
    <mergeCell ref="E5:I5"/>
    <mergeCell ref="B9:C9"/>
  </mergeCells>
  <phoneticPr fontId="6" type="noConversion"/>
  <conditionalFormatting sqref="K11:K13">
    <cfRule type="expression" dxfId="4" priority="1" stopIfTrue="1">
      <formula>IF($AY$1=1,TRUE,FALSE)</formula>
    </cfRule>
  </conditionalFormatting>
  <hyperlinks>
    <hyperlink ref="K11:K12" location="Pacht!A1" display="Zu-/Verpachtung bzw. Zu-/Verkauf"/>
    <hyperlink ref="K9:K10" location="'Internetfenster 2'!F6" display="Vergleichsbetrieb à"/>
    <hyperlink ref="K7:K8" location="'Internetfenster 1'!A1" display="Ausgangsbetrieb à"/>
    <hyperlink ref="K17" location="'Beiträge NT'!A1" display="Beiträge aus Nebentätigkeiten à"/>
    <hyperlink ref="K19" location="'BTG-Option'!A1" display="Beitragsgrundlagen-Option"/>
    <hyperlink ref="K26" location="'BTG-Option'!A1" display="Beitragsgrundlagen-Option"/>
    <hyperlink ref="K21" location="'BTG und Beitragssatz'!A1" display="Beitragsgrundlage &amp; Beitragssatz"/>
  </hyperlinks>
  <printOptions horizontalCentered="1"/>
  <pageMargins left="0.59055118110236227" right="0.59055118110236227" top="0.59055118110236227" bottom="0.59055118110236227" header="0.51181102362204722" footer="0.51181102362204722"/>
  <pageSetup paperSize="9" scale="83" orientation="landscape" r:id="rId1"/>
  <headerFooter alignWithMargins="0">
    <oddFooter>&amp;L&amp;8SVB-Beitragsberechnungsprogramm&amp;C&amp;8Bitte beachten: Die ermittelten Ergebnisse dienen lediglich der Information und sind unverbindlich!&amp;R&amp;8&amp;D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AI86"/>
  <sheetViews>
    <sheetView showGridLines="0" topLeftCell="A10" zoomScaleNormal="100" workbookViewId="0">
      <selection activeCell="E5" sqref="E5:I5"/>
    </sheetView>
  </sheetViews>
  <sheetFormatPr baseColWidth="10" defaultColWidth="11" defaultRowHeight="13.8" x14ac:dyDescent="0.25"/>
  <cols>
    <col min="1" max="1" width="11" style="134"/>
    <col min="2" max="5" width="19.59765625" style="134" customWidth="1"/>
    <col min="6" max="7" width="14.8984375" style="134" customWidth="1"/>
    <col min="8" max="8" width="17.8984375" style="134" customWidth="1"/>
    <col min="9" max="9" width="11.8984375" style="135" customWidth="1"/>
    <col min="10" max="10" width="4.09765625" style="134" customWidth="1"/>
    <col min="11" max="11" width="30.59765625" style="134" customWidth="1"/>
    <col min="12" max="12" width="11" style="134"/>
    <col min="13" max="15" width="13.69921875" style="134" customWidth="1"/>
    <col min="16" max="16384" width="11" style="134"/>
  </cols>
  <sheetData>
    <row r="1" spans="1:35" x14ac:dyDescent="0.25">
      <c r="A1" s="228"/>
      <c r="B1" s="228"/>
      <c r="C1" s="228"/>
      <c r="D1" s="228"/>
      <c r="E1" s="228"/>
      <c r="F1" s="228"/>
      <c r="G1" s="228"/>
      <c r="H1" s="228"/>
      <c r="I1" s="242"/>
      <c r="J1" s="228"/>
      <c r="K1" s="228"/>
      <c r="L1" s="213"/>
      <c r="M1" s="213"/>
      <c r="N1" s="213"/>
      <c r="O1" s="213"/>
      <c r="P1" s="218"/>
      <c r="Q1" s="218"/>
      <c r="R1" s="218"/>
      <c r="S1" s="218"/>
      <c r="T1" s="218"/>
      <c r="U1" s="218"/>
      <c r="V1" s="218"/>
      <c r="W1" s="218"/>
      <c r="X1" s="218"/>
      <c r="Y1" s="218"/>
      <c r="Z1" s="218"/>
      <c r="AA1" s="218"/>
      <c r="AB1" s="218"/>
      <c r="AC1" s="218"/>
      <c r="AD1" s="218"/>
      <c r="AE1" s="218"/>
      <c r="AF1" s="218"/>
      <c r="AG1" s="218"/>
      <c r="AH1" s="218"/>
      <c r="AI1" s="218"/>
    </row>
    <row r="2" spans="1:35" s="136" customFormat="1" ht="21" x14ac:dyDescent="0.25">
      <c r="A2" s="229"/>
      <c r="B2" s="359" t="s">
        <v>230</v>
      </c>
      <c r="C2" s="359"/>
      <c r="D2" s="359"/>
      <c r="E2" s="359"/>
      <c r="F2" s="359"/>
      <c r="G2" s="359"/>
      <c r="H2" s="359"/>
      <c r="I2" s="359"/>
      <c r="J2" s="229"/>
      <c r="K2" s="229"/>
      <c r="L2" s="215"/>
      <c r="M2" s="215"/>
      <c r="N2" s="215"/>
      <c r="O2" s="215"/>
      <c r="P2" s="216"/>
      <c r="Q2" s="216"/>
      <c r="R2" s="216"/>
      <c r="S2" s="216"/>
      <c r="T2" s="216"/>
      <c r="U2" s="216"/>
      <c r="V2" s="216"/>
      <c r="W2" s="216"/>
      <c r="X2" s="216"/>
      <c r="Y2" s="216"/>
      <c r="Z2" s="216"/>
      <c r="AA2" s="216"/>
      <c r="AB2" s="216"/>
      <c r="AC2" s="216"/>
      <c r="AD2" s="216"/>
      <c r="AE2" s="216"/>
      <c r="AF2" s="216"/>
      <c r="AG2" s="216"/>
      <c r="AH2" s="216"/>
      <c r="AI2" s="216"/>
    </row>
    <row r="3" spans="1:35" s="136" customFormat="1" ht="21" x14ac:dyDescent="0.25">
      <c r="A3" s="229"/>
      <c r="B3" s="359" t="s">
        <v>131</v>
      </c>
      <c r="C3" s="359"/>
      <c r="D3" s="359"/>
      <c r="E3" s="359"/>
      <c r="F3" s="359"/>
      <c r="G3" s="359"/>
      <c r="H3" s="359"/>
      <c r="I3" s="359"/>
      <c r="J3" s="229"/>
      <c r="K3" s="229"/>
      <c r="L3" s="215"/>
      <c r="M3" s="215"/>
      <c r="N3" s="215"/>
      <c r="O3" s="215"/>
      <c r="P3" s="216"/>
      <c r="Q3" s="216"/>
      <c r="R3" s="216"/>
      <c r="S3" s="216"/>
      <c r="T3" s="216"/>
      <c r="U3" s="216"/>
      <c r="V3" s="216"/>
      <c r="W3" s="216"/>
      <c r="X3" s="216"/>
      <c r="Y3" s="216"/>
      <c r="Z3" s="216"/>
      <c r="AA3" s="216"/>
      <c r="AB3" s="216"/>
      <c r="AC3" s="216"/>
      <c r="AD3" s="216"/>
      <c r="AE3" s="216"/>
      <c r="AF3" s="216"/>
      <c r="AG3" s="216"/>
      <c r="AH3" s="216"/>
      <c r="AI3" s="216"/>
    </row>
    <row r="4" spans="1:35" s="136" customFormat="1" ht="6" customHeight="1" x14ac:dyDescent="0.25">
      <c r="A4" s="229"/>
      <c r="B4" s="229"/>
      <c r="C4" s="229"/>
      <c r="D4" s="229"/>
      <c r="E4" s="229"/>
      <c r="F4" s="229"/>
      <c r="G4" s="229"/>
      <c r="H4" s="229"/>
      <c r="I4" s="229"/>
      <c r="J4" s="229"/>
      <c r="K4" s="229"/>
      <c r="L4" s="216"/>
      <c r="M4" s="216"/>
      <c r="N4" s="216"/>
      <c r="O4" s="216"/>
      <c r="P4" s="216"/>
      <c r="Q4" s="216"/>
      <c r="R4" s="216"/>
      <c r="S4" s="216"/>
      <c r="T4" s="216"/>
      <c r="U4" s="216"/>
      <c r="V4" s="216"/>
      <c r="W4" s="216"/>
      <c r="X4" s="216"/>
      <c r="Y4" s="216"/>
      <c r="Z4" s="216"/>
      <c r="AA4" s="216"/>
      <c r="AB4" s="216"/>
      <c r="AC4" s="216"/>
      <c r="AD4" s="216"/>
      <c r="AE4" s="216"/>
      <c r="AF4" s="216"/>
      <c r="AG4" s="216"/>
      <c r="AH4" s="216"/>
      <c r="AI4" s="216"/>
    </row>
    <row r="5" spans="1:35" s="136" customFormat="1" ht="21" x14ac:dyDescent="0.25">
      <c r="A5" s="229"/>
      <c r="B5" s="229"/>
      <c r="C5" s="229"/>
      <c r="D5" s="229"/>
      <c r="E5" s="422" t="s">
        <v>141</v>
      </c>
      <c r="F5" s="422"/>
      <c r="G5" s="422"/>
      <c r="H5" s="422"/>
      <c r="I5" s="422"/>
      <c r="J5" s="229"/>
      <c r="K5" s="332" t="s">
        <v>261</v>
      </c>
      <c r="L5" s="216"/>
      <c r="M5" s="216"/>
      <c r="N5" s="216"/>
      <c r="O5" s="216"/>
      <c r="P5" s="216"/>
      <c r="Q5" s="216"/>
      <c r="R5" s="216"/>
      <c r="S5" s="216"/>
      <c r="T5" s="216"/>
      <c r="U5" s="216"/>
      <c r="V5" s="216"/>
      <c r="W5" s="216"/>
      <c r="X5" s="216"/>
      <c r="Y5" s="216"/>
      <c r="Z5" s="216"/>
      <c r="AA5" s="216"/>
      <c r="AB5" s="216"/>
      <c r="AC5" s="216"/>
      <c r="AD5" s="216"/>
      <c r="AE5" s="216"/>
      <c r="AF5" s="216"/>
      <c r="AG5" s="216"/>
      <c r="AH5" s="216"/>
      <c r="AI5" s="216"/>
    </row>
    <row r="6" spans="1:35" s="137" customFormat="1" ht="18" customHeight="1" x14ac:dyDescent="0.25">
      <c r="A6" s="217"/>
      <c r="B6" s="403" t="s">
        <v>319</v>
      </c>
      <c r="C6" s="403"/>
      <c r="D6" s="403"/>
      <c r="E6" s="403"/>
      <c r="F6" s="403"/>
      <c r="G6" s="403"/>
      <c r="H6" s="403"/>
      <c r="I6" s="403"/>
      <c r="J6" s="217"/>
      <c r="K6" s="326" t="s">
        <v>247</v>
      </c>
      <c r="L6" s="217"/>
      <c r="M6" s="217"/>
      <c r="N6" s="217"/>
      <c r="O6" s="217"/>
      <c r="P6" s="217"/>
      <c r="Q6" s="217"/>
      <c r="R6" s="217"/>
      <c r="S6" s="217"/>
      <c r="T6" s="217"/>
      <c r="U6" s="217"/>
      <c r="V6" s="217"/>
      <c r="W6" s="217"/>
      <c r="X6" s="217"/>
      <c r="Y6" s="217"/>
      <c r="Z6" s="217"/>
      <c r="AA6" s="217"/>
      <c r="AB6" s="217"/>
      <c r="AC6" s="217"/>
      <c r="AD6" s="217"/>
      <c r="AE6" s="217"/>
      <c r="AF6" s="217"/>
      <c r="AG6" s="217"/>
      <c r="AH6" s="217"/>
      <c r="AI6" s="217"/>
    </row>
    <row r="7" spans="1:35" s="137" customFormat="1" ht="14.25" customHeight="1" x14ac:dyDescent="0.25">
      <c r="A7" s="217"/>
      <c r="B7" s="403"/>
      <c r="C7" s="403"/>
      <c r="D7" s="403"/>
      <c r="E7" s="403"/>
      <c r="F7" s="403"/>
      <c r="G7" s="403"/>
      <c r="H7" s="403"/>
      <c r="I7" s="403"/>
      <c r="J7" s="217"/>
      <c r="K7" s="352" t="s">
        <v>296</v>
      </c>
      <c r="L7" s="217"/>
      <c r="M7" s="217"/>
      <c r="N7" s="217"/>
      <c r="O7" s="217"/>
      <c r="P7" s="217"/>
      <c r="Q7" s="217"/>
      <c r="R7" s="217"/>
      <c r="S7" s="217"/>
      <c r="T7" s="217"/>
      <c r="U7" s="217"/>
      <c r="V7" s="217"/>
      <c r="W7" s="217"/>
      <c r="X7" s="217"/>
      <c r="Y7" s="217"/>
      <c r="Z7" s="217"/>
      <c r="AA7" s="217"/>
      <c r="AB7" s="217"/>
      <c r="AC7" s="217"/>
      <c r="AD7" s="217"/>
      <c r="AE7" s="217"/>
      <c r="AF7" s="217"/>
      <c r="AG7" s="217"/>
      <c r="AH7" s="217"/>
      <c r="AI7" s="217"/>
    </row>
    <row r="8" spans="1:35" s="137" customFormat="1" ht="14.25" customHeight="1" x14ac:dyDescent="0.25">
      <c r="A8" s="217"/>
      <c r="B8" s="403"/>
      <c r="C8" s="403"/>
      <c r="D8" s="403"/>
      <c r="E8" s="403"/>
      <c r="F8" s="403"/>
      <c r="G8" s="403"/>
      <c r="H8" s="403"/>
      <c r="I8" s="403"/>
      <c r="J8" s="217"/>
      <c r="K8" s="352"/>
      <c r="L8" s="217"/>
      <c r="M8" s="217"/>
      <c r="N8" s="217"/>
      <c r="O8" s="217"/>
      <c r="P8" s="217"/>
      <c r="Q8" s="217"/>
      <c r="R8" s="217"/>
      <c r="S8" s="217"/>
      <c r="T8" s="217"/>
      <c r="U8" s="217"/>
      <c r="V8" s="217"/>
      <c r="W8" s="217"/>
      <c r="X8" s="217"/>
      <c r="Y8" s="217"/>
      <c r="Z8" s="217"/>
      <c r="AA8" s="217"/>
      <c r="AB8" s="217"/>
      <c r="AC8" s="217"/>
      <c r="AD8" s="217"/>
      <c r="AE8" s="217"/>
      <c r="AF8" s="217"/>
      <c r="AG8" s="217"/>
      <c r="AH8" s="217"/>
      <c r="AI8" s="217"/>
    </row>
    <row r="9" spans="1:35" s="137" customFormat="1" ht="14.25" customHeight="1" x14ac:dyDescent="0.25">
      <c r="A9" s="217"/>
      <c r="B9" s="403"/>
      <c r="C9" s="403"/>
      <c r="D9" s="403"/>
      <c r="E9" s="403"/>
      <c r="F9" s="403"/>
      <c r="G9" s="403"/>
      <c r="H9" s="403"/>
      <c r="I9" s="403"/>
      <c r="J9" s="217"/>
      <c r="K9" s="352" t="s">
        <v>297</v>
      </c>
      <c r="L9" s="217"/>
      <c r="M9" s="217"/>
      <c r="N9" s="217"/>
      <c r="O9" s="217"/>
      <c r="P9" s="217"/>
      <c r="Q9" s="217"/>
      <c r="R9" s="217"/>
      <c r="S9" s="217"/>
      <c r="T9" s="217"/>
      <c r="U9" s="217"/>
      <c r="V9" s="217"/>
      <c r="W9" s="217"/>
      <c r="X9" s="217"/>
      <c r="Y9" s="217"/>
      <c r="Z9" s="217"/>
      <c r="AA9" s="217"/>
      <c r="AB9" s="217"/>
      <c r="AC9" s="217"/>
      <c r="AD9" s="217"/>
      <c r="AE9" s="217"/>
      <c r="AF9" s="217"/>
      <c r="AG9" s="217"/>
      <c r="AH9" s="217"/>
      <c r="AI9" s="217"/>
    </row>
    <row r="10" spans="1:35" s="137" customFormat="1" ht="14.25" customHeight="1" x14ac:dyDescent="0.25">
      <c r="A10" s="217"/>
      <c r="B10" s="403"/>
      <c r="C10" s="403"/>
      <c r="D10" s="403"/>
      <c r="E10" s="403"/>
      <c r="F10" s="403"/>
      <c r="G10" s="403"/>
      <c r="H10" s="403"/>
      <c r="I10" s="403"/>
      <c r="J10" s="217"/>
      <c r="K10" s="352"/>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row>
    <row r="11" spans="1:35" s="137" customFormat="1" ht="14.25" customHeight="1" x14ac:dyDescent="0.25">
      <c r="A11" s="217"/>
      <c r="B11" s="145"/>
      <c r="C11" s="145"/>
      <c r="D11" s="145"/>
      <c r="E11" s="145"/>
      <c r="F11" s="145"/>
      <c r="G11" s="145"/>
      <c r="H11" s="145"/>
      <c r="I11" s="145"/>
      <c r="J11" s="217"/>
      <c r="K11" s="355" t="s">
        <v>287</v>
      </c>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row>
    <row r="12" spans="1:35" s="137" customFormat="1" ht="14.25" customHeight="1" x14ac:dyDescent="0.25">
      <c r="A12" s="217"/>
      <c r="B12" s="384" t="str">
        <f>IF('Verknüpfungen 1'!A2&lt;2020,"Für die Beitragsbemessung im Falle einer Beitragsgrundlagenoption gilt eine eigene mtl. Mindestbeitragsgrundlage ("&amp;'Verknüpfungen 1'!A2&amp;": KV, UV: EUR "&amp;TEXT(VLOOKUP('Verknüpfungen 1'!A2,Wertedatenbank!A3:F21,Wertedatenbank!E22),"# ####,00")&amp;", PV: EUR "&amp;TEXT(VLOOKUP('Verknüpfungen 1'!A2,Wertedatenbank!A3:F21,Wertedatenbank!F22),"# ####,00")&amp;") und es kommt die Vorschreibung eines Zusatzbeitrages in Höhe von drei Prozent der Beitragssumme  zur Anwendung.","Für die Beitragsbemessung im Falle einer Beitragsgrundlagenoption gelten je Versicherungszweig eigene mtl. Mindestbeitragsgrundlagen ("&amp;'Verknüpfungen 1'!A2&amp;": UV: EUR "&amp;TEXT(VLOOKUP('Verknüpfungen 1'!A2,Wertedatenbank!A3:F21,Wertedatenbank!E22),"# ####,00")&amp;", KV: EUR "&amp;TEXT(VLOOKUP('Verknüpfungen 1'!A2,Wertedatenbank!A3:F21,Wertedatenbank!D22),"# ###,00")&amp;", PV: EUR "&amp;TEXT(VLOOKUP('Verknüpfungen 1'!A2,Wertedatenbank!A3:F21,Wertedatenbank!F22),"# ####,00")&amp;"). Ab 2020 kommt die Vorschreibung eines Zusatzbeitrages in Höhe von drei Prozent der Beitragssumme nicht mehr zur Anwendung.")</f>
        <v>Für die Beitragsbemessung im Falle einer Beitragsgrundlagenoption gelten je Versicherungszweig eigene mtl. Mindestbeitragsgrundlagen (2024: UV: EUR  1797,76, KV: EUR  518,44, PV: EUR  956,70). Ab 2020 kommt die Vorschreibung eines Zusatzbeitrages in Höhe von drei Prozent der Beitragssumme nicht mehr zur Anwendung.</v>
      </c>
      <c r="C12" s="384"/>
      <c r="D12" s="384"/>
      <c r="E12" s="384"/>
      <c r="F12" s="384"/>
      <c r="G12" s="384"/>
      <c r="H12" s="384"/>
      <c r="I12" s="384"/>
      <c r="J12" s="217"/>
      <c r="K12" s="352"/>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row>
    <row r="13" spans="1:35" s="137" customFormat="1" ht="14.25" customHeight="1" x14ac:dyDescent="0.25">
      <c r="A13" s="217"/>
      <c r="B13" s="384"/>
      <c r="C13" s="384"/>
      <c r="D13" s="384"/>
      <c r="E13" s="384"/>
      <c r="F13" s="384"/>
      <c r="G13" s="384"/>
      <c r="H13" s="384"/>
      <c r="I13" s="384"/>
      <c r="J13" s="217"/>
      <c r="K13" s="352"/>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row>
    <row r="14" spans="1:35" s="137" customFormat="1" ht="8.25" customHeight="1" x14ac:dyDescent="0.25">
      <c r="A14" s="217"/>
      <c r="B14" s="138"/>
      <c r="C14" s="138"/>
      <c r="D14" s="138"/>
      <c r="E14" s="138"/>
      <c r="F14" s="138"/>
      <c r="G14" s="138"/>
      <c r="H14" s="138"/>
      <c r="I14" s="138"/>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row>
    <row r="15" spans="1:35" s="137" customFormat="1" ht="14.25" customHeight="1" x14ac:dyDescent="0.25">
      <c r="A15" s="217"/>
      <c r="B15" s="384" t="s">
        <v>142</v>
      </c>
      <c r="C15" s="384"/>
      <c r="D15" s="384"/>
      <c r="E15" s="384"/>
      <c r="F15" s="384"/>
      <c r="G15" s="384"/>
      <c r="H15" s="384"/>
      <c r="I15" s="384"/>
      <c r="J15" s="217"/>
      <c r="K15" s="243" t="s">
        <v>311</v>
      </c>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row>
    <row r="16" spans="1:35" s="137" customFormat="1" ht="14.25" customHeight="1" x14ac:dyDescent="0.25">
      <c r="A16" s="217"/>
      <c r="B16" s="384"/>
      <c r="C16" s="384"/>
      <c r="D16" s="384"/>
      <c r="E16" s="384"/>
      <c r="F16" s="384"/>
      <c r="G16" s="384"/>
      <c r="H16" s="384"/>
      <c r="I16" s="384"/>
      <c r="J16" s="217"/>
      <c r="K16" s="243" t="s">
        <v>310</v>
      </c>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row>
    <row r="17" spans="1:35" s="137" customFormat="1" ht="8.25" customHeight="1" x14ac:dyDescent="0.25">
      <c r="A17" s="217"/>
      <c r="B17" s="138"/>
      <c r="C17" s="138"/>
      <c r="D17" s="138"/>
      <c r="E17" s="138"/>
      <c r="F17" s="138"/>
      <c r="G17" s="138"/>
      <c r="H17" s="138"/>
      <c r="I17" s="138"/>
      <c r="J17" s="217"/>
      <c r="K17" s="352" t="s">
        <v>257</v>
      </c>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row>
    <row r="18" spans="1:35" s="137" customFormat="1" ht="14.25" customHeight="1" x14ac:dyDescent="0.25">
      <c r="A18" s="217"/>
      <c r="B18" s="384" t="s">
        <v>234</v>
      </c>
      <c r="C18" s="384"/>
      <c r="D18" s="384"/>
      <c r="E18" s="384"/>
      <c r="F18" s="384"/>
      <c r="G18" s="384"/>
      <c r="H18" s="384"/>
      <c r="I18" s="384"/>
      <c r="J18" s="217"/>
      <c r="K18" s="352"/>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row>
    <row r="19" spans="1:35" s="137" customFormat="1" ht="14.25" customHeight="1" x14ac:dyDescent="0.25">
      <c r="A19" s="217"/>
      <c r="B19" s="384"/>
      <c r="C19" s="384"/>
      <c r="D19" s="384"/>
      <c r="E19" s="384"/>
      <c r="F19" s="384"/>
      <c r="G19" s="384"/>
      <c r="H19" s="384"/>
      <c r="I19" s="384"/>
      <c r="J19" s="217"/>
      <c r="K19" s="352" t="s">
        <v>317</v>
      </c>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row>
    <row r="20" spans="1:35" s="137" customFormat="1" ht="14.25" customHeight="1" x14ac:dyDescent="0.25">
      <c r="A20" s="217"/>
      <c r="B20" s="384"/>
      <c r="C20" s="384"/>
      <c r="D20" s="384"/>
      <c r="E20" s="384"/>
      <c r="F20" s="384"/>
      <c r="G20" s="384"/>
      <c r="H20" s="384"/>
      <c r="I20" s="384"/>
      <c r="J20" s="217"/>
      <c r="K20" s="352"/>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row>
    <row r="21" spans="1:35" s="137" customFormat="1" ht="14.25" customHeight="1" x14ac:dyDescent="0.25">
      <c r="A21" s="217"/>
      <c r="B21" s="150"/>
      <c r="C21" s="150"/>
      <c r="D21" s="151"/>
      <c r="E21" s="138"/>
      <c r="F21" s="384"/>
      <c r="G21" s="384"/>
      <c r="H21" s="138"/>
      <c r="I21" s="138"/>
      <c r="J21" s="217"/>
      <c r="K21" s="352" t="s">
        <v>293</v>
      </c>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row>
    <row r="22" spans="1:35" s="137" customFormat="1" ht="14.25" customHeight="1" x14ac:dyDescent="0.25">
      <c r="A22" s="217"/>
      <c r="B22" s="400" t="s">
        <v>144</v>
      </c>
      <c r="C22" s="400"/>
      <c r="D22" s="400"/>
      <c r="E22" s="400"/>
      <c r="F22" s="400"/>
      <c r="G22" s="400"/>
      <c r="H22" s="400"/>
      <c r="I22" s="400"/>
      <c r="J22" s="217"/>
      <c r="K22" s="352"/>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row>
    <row r="23" spans="1:35" s="137" customFormat="1" ht="14.25" customHeight="1" x14ac:dyDescent="0.25">
      <c r="A23" s="217"/>
      <c r="B23" s="155"/>
      <c r="C23" s="155"/>
      <c r="D23" s="155"/>
      <c r="E23" s="155"/>
      <c r="F23" s="155"/>
      <c r="G23" s="155"/>
      <c r="H23" s="155"/>
      <c r="I23" s="155"/>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row>
    <row r="24" spans="1:35" s="137" customFormat="1" ht="14.25" customHeight="1" x14ac:dyDescent="0.25">
      <c r="A24" s="217"/>
      <c r="B24" s="429" t="s">
        <v>145</v>
      </c>
      <c r="C24" s="384"/>
      <c r="D24" s="384"/>
      <c r="E24" s="384"/>
      <c r="F24" s="384"/>
      <c r="G24" s="384"/>
      <c r="H24" s="384"/>
      <c r="I24" s="384"/>
      <c r="J24" s="217"/>
      <c r="K24" s="243" t="s">
        <v>261</v>
      </c>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row>
    <row r="25" spans="1:35" s="137" customFormat="1" ht="14.25" customHeight="1" x14ac:dyDescent="0.25">
      <c r="A25" s="217"/>
      <c r="B25" s="427" t="s">
        <v>146</v>
      </c>
      <c r="C25" s="400"/>
      <c r="D25" s="400"/>
      <c r="E25" s="400"/>
      <c r="F25" s="400"/>
      <c r="G25" s="400"/>
      <c r="H25" s="400"/>
      <c r="I25" s="400"/>
      <c r="J25" s="217"/>
      <c r="K25" s="243" t="s">
        <v>309</v>
      </c>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35" s="137" customFormat="1" ht="14.25" customHeight="1" x14ac:dyDescent="0.25">
      <c r="A26" s="217"/>
      <c r="B26" s="429" t="s">
        <v>147</v>
      </c>
      <c r="C26" s="384"/>
      <c r="D26" s="384"/>
      <c r="E26" s="384"/>
      <c r="F26" s="384"/>
      <c r="G26" s="384"/>
      <c r="H26" s="384"/>
      <c r="I26" s="384"/>
      <c r="J26" s="217"/>
      <c r="K26" s="352" t="s">
        <v>317</v>
      </c>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row>
    <row r="27" spans="1:35" s="137" customFormat="1" ht="14.25" customHeight="1" x14ac:dyDescent="0.25">
      <c r="A27" s="217"/>
      <c r="B27" s="138"/>
      <c r="C27" s="138"/>
      <c r="D27" s="138"/>
      <c r="E27" s="138"/>
      <c r="F27" s="138"/>
      <c r="G27" s="138"/>
      <c r="H27" s="138"/>
      <c r="I27" s="138"/>
      <c r="J27" s="217"/>
      <c r="K27" s="352"/>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row>
    <row r="28" spans="1:35" s="137" customFormat="1" ht="14.25" customHeight="1" x14ac:dyDescent="0.25">
      <c r="A28" s="217"/>
      <c r="B28" s="400" t="s">
        <v>235</v>
      </c>
      <c r="C28" s="400"/>
      <c r="D28" s="400"/>
      <c r="E28" s="400"/>
      <c r="F28" s="400"/>
      <c r="G28" s="400"/>
      <c r="H28" s="400"/>
      <c r="I28" s="400"/>
      <c r="J28" s="217"/>
      <c r="K28" s="352"/>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row>
    <row r="29" spans="1:35" s="137" customFormat="1" ht="14.25" customHeight="1" x14ac:dyDescent="0.25">
      <c r="A29" s="217"/>
      <c r="B29" s="155"/>
      <c r="C29" s="155"/>
      <c r="D29" s="155"/>
      <c r="E29" s="155"/>
      <c r="F29" s="155"/>
      <c r="G29" s="155"/>
      <c r="H29" s="155"/>
      <c r="I29" s="155"/>
      <c r="J29" s="217"/>
      <c r="K29" s="352"/>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row>
    <row r="30" spans="1:35" s="137" customFormat="1" ht="14.25" customHeight="1" x14ac:dyDescent="0.25">
      <c r="A30" s="217"/>
      <c r="B30" s="430" t="s">
        <v>143</v>
      </c>
      <c r="C30" s="430"/>
      <c r="D30" s="430"/>
      <c r="E30" s="430"/>
      <c r="F30" s="430"/>
      <c r="G30" s="430"/>
      <c r="H30" s="430"/>
      <c r="I30" s="430"/>
      <c r="J30" s="217"/>
      <c r="K30" s="308"/>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row>
    <row r="31" spans="1:35" s="137" customFormat="1" ht="14.25" customHeight="1" x14ac:dyDescent="0.25">
      <c r="A31" s="217"/>
      <c r="B31" s="430"/>
      <c r="C31" s="430"/>
      <c r="D31" s="430"/>
      <c r="E31" s="430"/>
      <c r="F31" s="430"/>
      <c r="G31" s="430"/>
      <c r="H31" s="430"/>
      <c r="I31" s="430"/>
      <c r="J31" s="217"/>
      <c r="K31" s="334"/>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row>
    <row r="32" spans="1:35" s="137" customFormat="1" ht="14.25" customHeight="1" x14ac:dyDescent="0.25">
      <c r="A32" s="217"/>
      <c r="B32" s="430"/>
      <c r="C32" s="430"/>
      <c r="D32" s="430"/>
      <c r="E32" s="430"/>
      <c r="F32" s="430"/>
      <c r="G32" s="430"/>
      <c r="H32" s="430"/>
      <c r="I32" s="430"/>
      <c r="J32" s="217"/>
      <c r="K32" s="334"/>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s="137" customFormat="1" ht="14.25" customHeight="1" x14ac:dyDescent="0.25">
      <c r="A33" s="217"/>
      <c r="B33" s="430"/>
      <c r="C33" s="430"/>
      <c r="D33" s="430"/>
      <c r="E33" s="430"/>
      <c r="F33" s="430"/>
      <c r="G33" s="430"/>
      <c r="H33" s="430"/>
      <c r="I33" s="430"/>
      <c r="J33" s="217"/>
      <c r="K33" s="334"/>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s="137" customFormat="1" ht="14.25" customHeight="1" x14ac:dyDescent="0.25">
      <c r="A34" s="217"/>
      <c r="B34" s="430"/>
      <c r="C34" s="430"/>
      <c r="D34" s="430"/>
      <c r="E34" s="430"/>
      <c r="F34" s="430"/>
      <c r="G34" s="430"/>
      <c r="H34" s="430"/>
      <c r="I34" s="430"/>
      <c r="J34" s="217"/>
      <c r="K34" s="334"/>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ht="14.25" customHeight="1" x14ac:dyDescent="0.25">
      <c r="A35" s="218"/>
      <c r="B35" s="430"/>
      <c r="C35" s="430"/>
      <c r="D35" s="430"/>
      <c r="E35" s="430"/>
      <c r="F35" s="430"/>
      <c r="G35" s="430"/>
      <c r="H35" s="430"/>
      <c r="I35" s="430"/>
      <c r="J35" s="218"/>
      <c r="K35" s="334"/>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row>
    <row r="36" spans="1:35" ht="4.5" customHeight="1" x14ac:dyDescent="0.25">
      <c r="A36" s="218"/>
      <c r="B36" s="138"/>
      <c r="C36" s="138"/>
      <c r="D36" s="138"/>
      <c r="E36" s="138"/>
      <c r="F36" s="138"/>
      <c r="G36" s="138"/>
      <c r="H36" s="138"/>
      <c r="I36" s="138"/>
      <c r="J36" s="218"/>
      <c r="K36" s="334"/>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row>
    <row r="37" spans="1:35" s="14" customFormat="1" ht="30" customHeight="1" x14ac:dyDescent="0.25">
      <c r="A37" s="219"/>
      <c r="B37" s="397" t="s">
        <v>298</v>
      </c>
      <c r="C37" s="397"/>
      <c r="D37" s="397"/>
      <c r="E37" s="397"/>
      <c r="F37" s="397"/>
      <c r="G37" s="397"/>
      <c r="H37" s="397"/>
      <c r="I37" s="397"/>
      <c r="J37" s="219"/>
      <c r="K37" s="334"/>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row>
    <row r="38" spans="1:35" ht="45" customHeight="1" x14ac:dyDescent="0.25">
      <c r="A38" s="218"/>
      <c r="B38" s="218"/>
      <c r="C38" s="218"/>
      <c r="D38" s="218"/>
      <c r="E38" s="218"/>
      <c r="F38" s="218"/>
      <c r="G38" s="218"/>
      <c r="H38" s="218"/>
      <c r="I38" s="220"/>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row>
    <row r="39" spans="1:35" ht="45" customHeight="1" x14ac:dyDescent="0.25">
      <c r="A39" s="218"/>
      <c r="B39" s="218"/>
      <c r="C39" s="218"/>
      <c r="D39" s="218"/>
      <c r="E39" s="218"/>
      <c r="F39" s="218"/>
      <c r="G39" s="218"/>
      <c r="H39" s="218"/>
      <c r="I39" s="220"/>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row>
    <row r="40" spans="1:35" ht="45" customHeight="1" x14ac:dyDescent="0.25">
      <c r="A40" s="218"/>
      <c r="B40" s="218"/>
      <c r="C40" s="218"/>
      <c r="D40" s="218"/>
      <c r="E40" s="218"/>
      <c r="F40" s="218"/>
      <c r="G40" s="218"/>
      <c r="H40" s="218"/>
      <c r="I40" s="220"/>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row>
    <row r="41" spans="1:35" ht="45" customHeight="1" x14ac:dyDescent="0.25">
      <c r="A41" s="218"/>
      <c r="B41" s="218"/>
      <c r="C41" s="218"/>
      <c r="D41" s="218"/>
      <c r="E41" s="218"/>
      <c r="F41" s="218"/>
      <c r="G41" s="218"/>
      <c r="H41" s="218"/>
      <c r="I41" s="220"/>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row>
    <row r="42" spans="1:35" ht="45" customHeight="1" x14ac:dyDescent="0.25">
      <c r="A42" s="218"/>
      <c r="B42" s="218"/>
      <c r="C42" s="218"/>
      <c r="D42" s="218"/>
      <c r="E42" s="218"/>
      <c r="F42" s="218"/>
      <c r="G42" s="218"/>
      <c r="H42" s="218"/>
      <c r="I42" s="220"/>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row>
    <row r="43" spans="1:35" ht="45" customHeight="1" x14ac:dyDescent="0.25">
      <c r="A43" s="218"/>
      <c r="B43" s="218"/>
      <c r="C43" s="218"/>
      <c r="D43" s="218"/>
      <c r="E43" s="218"/>
      <c r="F43" s="218"/>
      <c r="G43" s="218"/>
      <c r="H43" s="218"/>
      <c r="I43" s="220"/>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row>
    <row r="44" spans="1:35" ht="45" customHeight="1" x14ac:dyDescent="0.25">
      <c r="A44" s="218"/>
      <c r="B44" s="218"/>
      <c r="C44" s="218"/>
      <c r="D44" s="218"/>
      <c r="E44" s="218"/>
      <c r="F44" s="218"/>
      <c r="G44" s="218"/>
      <c r="H44" s="218"/>
      <c r="I44" s="220"/>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row>
    <row r="45" spans="1:35" ht="45" customHeight="1" x14ac:dyDescent="0.25">
      <c r="A45" s="218"/>
      <c r="B45" s="218"/>
      <c r="C45" s="218"/>
      <c r="D45" s="218"/>
      <c r="E45" s="218"/>
      <c r="F45" s="218"/>
      <c r="G45" s="218"/>
      <c r="H45" s="218"/>
      <c r="I45" s="220"/>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row>
    <row r="46" spans="1:35" ht="45" customHeight="1" x14ac:dyDescent="0.25">
      <c r="A46" s="218"/>
      <c r="B46" s="218"/>
      <c r="C46" s="218"/>
      <c r="D46" s="218"/>
      <c r="E46" s="218"/>
      <c r="F46" s="218"/>
      <c r="G46" s="218"/>
      <c r="H46" s="218"/>
      <c r="I46" s="220"/>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row>
    <row r="47" spans="1:35" ht="45" customHeight="1" x14ac:dyDescent="0.25">
      <c r="A47" s="218"/>
      <c r="B47" s="218"/>
      <c r="C47" s="218"/>
      <c r="D47" s="218"/>
      <c r="E47" s="218"/>
      <c r="F47" s="218"/>
      <c r="G47" s="218"/>
      <c r="H47" s="218"/>
      <c r="I47" s="220"/>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row>
    <row r="48" spans="1:35" ht="45" customHeight="1" x14ac:dyDescent="0.25">
      <c r="A48" s="218"/>
      <c r="B48" s="218"/>
      <c r="C48" s="218"/>
      <c r="D48" s="218"/>
      <c r="E48" s="218"/>
      <c r="F48" s="218"/>
      <c r="G48" s="218"/>
      <c r="H48" s="218"/>
      <c r="I48" s="220"/>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row>
    <row r="49" spans="1:35" ht="45" customHeight="1" x14ac:dyDescent="0.25">
      <c r="A49" s="218"/>
      <c r="B49" s="218"/>
      <c r="C49" s="218"/>
      <c r="D49" s="218"/>
      <c r="E49" s="218"/>
      <c r="F49" s="218"/>
      <c r="G49" s="218"/>
      <c r="H49" s="218"/>
      <c r="I49" s="220"/>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row>
    <row r="50" spans="1:35" ht="45" customHeight="1" x14ac:dyDescent="0.25">
      <c r="A50" s="218"/>
      <c r="B50" s="218"/>
      <c r="C50" s="218"/>
      <c r="D50" s="218"/>
      <c r="E50" s="218"/>
      <c r="F50" s="218"/>
      <c r="G50" s="218"/>
      <c r="H50" s="218"/>
      <c r="I50" s="220"/>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row>
    <row r="51" spans="1:35" ht="45" customHeight="1" x14ac:dyDescent="0.25">
      <c r="A51" s="218"/>
      <c r="B51" s="218"/>
      <c r="C51" s="218"/>
      <c r="D51" s="218"/>
      <c r="E51" s="218"/>
      <c r="F51" s="218"/>
      <c r="G51" s="218"/>
      <c r="H51" s="218"/>
      <c r="I51" s="220"/>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row>
    <row r="52" spans="1:35" ht="45" customHeight="1" x14ac:dyDescent="0.25">
      <c r="A52" s="218"/>
      <c r="B52" s="218"/>
      <c r="C52" s="218"/>
      <c r="D52" s="218"/>
      <c r="E52" s="218"/>
      <c r="F52" s="218"/>
      <c r="G52" s="218"/>
      <c r="H52" s="218"/>
      <c r="I52" s="220"/>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row>
    <row r="53" spans="1:35" ht="45" customHeight="1" x14ac:dyDescent="0.25">
      <c r="A53" s="218"/>
      <c r="B53" s="218"/>
      <c r="C53" s="218"/>
      <c r="D53" s="218"/>
      <c r="E53" s="218"/>
      <c r="F53" s="218"/>
      <c r="G53" s="218"/>
      <c r="H53" s="218"/>
      <c r="I53" s="220"/>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row>
    <row r="54" spans="1:35" ht="45" customHeight="1" x14ac:dyDescent="0.25">
      <c r="A54" s="218"/>
      <c r="B54" s="218"/>
      <c r="C54" s="218"/>
      <c r="D54" s="218"/>
      <c r="E54" s="218"/>
      <c r="F54" s="218"/>
      <c r="G54" s="218"/>
      <c r="H54" s="218"/>
      <c r="I54" s="220"/>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row>
    <row r="55" spans="1:35" ht="45" customHeight="1" x14ac:dyDescent="0.25">
      <c r="A55" s="218"/>
      <c r="B55" s="218"/>
      <c r="C55" s="218"/>
      <c r="D55" s="218"/>
      <c r="E55" s="218"/>
      <c r="F55" s="218"/>
      <c r="G55" s="218"/>
      <c r="H55" s="218"/>
      <c r="I55" s="220"/>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row>
    <row r="56" spans="1:35" ht="45" customHeight="1" x14ac:dyDescent="0.25">
      <c r="A56" s="218"/>
      <c r="B56" s="218"/>
      <c r="C56" s="218"/>
      <c r="D56" s="218"/>
      <c r="E56" s="218"/>
      <c r="F56" s="218"/>
      <c r="G56" s="218"/>
      <c r="H56" s="218"/>
      <c r="I56" s="220"/>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row>
    <row r="57" spans="1:35" ht="45" customHeight="1" x14ac:dyDescent="0.25">
      <c r="A57" s="218"/>
      <c r="B57" s="218"/>
      <c r="C57" s="218"/>
      <c r="D57" s="218"/>
      <c r="E57" s="218"/>
      <c r="F57" s="218"/>
      <c r="G57" s="218"/>
      <c r="H57" s="218"/>
      <c r="I57" s="220"/>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row>
    <row r="58" spans="1:35" ht="45" customHeight="1" x14ac:dyDescent="0.25">
      <c r="A58" s="218"/>
      <c r="B58" s="218"/>
      <c r="C58" s="218"/>
      <c r="D58" s="218"/>
      <c r="E58" s="218"/>
      <c r="F58" s="218"/>
      <c r="G58" s="218"/>
      <c r="H58" s="218"/>
      <c r="I58" s="220"/>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row>
    <row r="59" spans="1:35" ht="45" customHeight="1" x14ac:dyDescent="0.25">
      <c r="A59" s="218"/>
      <c r="B59" s="218"/>
      <c r="C59" s="218"/>
      <c r="D59" s="218"/>
      <c r="E59" s="218"/>
      <c r="F59" s="218"/>
      <c r="G59" s="218"/>
      <c r="H59" s="218"/>
      <c r="I59" s="220"/>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row>
    <row r="60" spans="1:35" ht="45" customHeight="1" x14ac:dyDescent="0.25">
      <c r="A60" s="218"/>
      <c r="B60" s="218"/>
      <c r="C60" s="218"/>
      <c r="D60" s="218"/>
      <c r="E60" s="218"/>
      <c r="F60" s="218"/>
      <c r="G60" s="218"/>
      <c r="H60" s="218"/>
      <c r="I60" s="220"/>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row>
    <row r="61" spans="1:35" ht="45" customHeight="1" x14ac:dyDescent="0.25">
      <c r="A61" s="218"/>
      <c r="B61" s="218"/>
      <c r="C61" s="218"/>
      <c r="D61" s="218"/>
      <c r="E61" s="218"/>
      <c r="F61" s="218"/>
      <c r="G61" s="218"/>
      <c r="H61" s="218"/>
      <c r="I61" s="220"/>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row>
    <row r="62" spans="1:35" ht="45" customHeight="1" x14ac:dyDescent="0.25">
      <c r="A62" s="218"/>
      <c r="B62" s="218"/>
      <c r="C62" s="218"/>
      <c r="D62" s="218"/>
      <c r="E62" s="218"/>
      <c r="F62" s="218"/>
      <c r="G62" s="218"/>
      <c r="H62" s="218"/>
      <c r="I62" s="220"/>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row>
    <row r="63" spans="1:35" ht="45" customHeight="1" x14ac:dyDescent="0.25">
      <c r="A63" s="218"/>
      <c r="B63" s="218"/>
      <c r="C63" s="218"/>
      <c r="D63" s="218"/>
      <c r="E63" s="218"/>
      <c r="F63" s="218"/>
      <c r="G63" s="218"/>
      <c r="H63" s="218"/>
      <c r="I63" s="220"/>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row>
    <row r="64" spans="1:35" ht="45" customHeight="1" x14ac:dyDescent="0.25">
      <c r="A64" s="218"/>
      <c r="B64" s="218"/>
      <c r="C64" s="218"/>
      <c r="D64" s="218"/>
      <c r="E64" s="218"/>
      <c r="F64" s="218"/>
      <c r="G64" s="218"/>
      <c r="H64" s="218"/>
      <c r="I64" s="220"/>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row>
    <row r="65" spans="1:35" ht="45" customHeight="1" x14ac:dyDescent="0.25">
      <c r="A65" s="218"/>
      <c r="B65" s="218"/>
      <c r="C65" s="218"/>
      <c r="D65" s="218"/>
      <c r="E65" s="218"/>
      <c r="F65" s="218"/>
      <c r="G65" s="218"/>
      <c r="H65" s="218"/>
      <c r="I65" s="220"/>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row>
    <row r="66" spans="1:35" ht="45" customHeight="1" x14ac:dyDescent="0.25">
      <c r="A66" s="218"/>
      <c r="B66" s="218"/>
      <c r="C66" s="218"/>
      <c r="D66" s="218"/>
      <c r="E66" s="218"/>
      <c r="F66" s="218"/>
      <c r="G66" s="218"/>
      <c r="H66" s="218"/>
      <c r="I66" s="220"/>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row>
    <row r="67" spans="1:35" ht="45" customHeight="1" x14ac:dyDescent="0.25">
      <c r="A67" s="218"/>
      <c r="B67" s="218"/>
      <c r="C67" s="218"/>
      <c r="D67" s="218"/>
      <c r="E67" s="218"/>
      <c r="F67" s="218"/>
      <c r="G67" s="218"/>
      <c r="H67" s="218"/>
      <c r="I67" s="220"/>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row>
    <row r="68" spans="1:35" ht="45" customHeight="1" x14ac:dyDescent="0.25">
      <c r="A68" s="218"/>
      <c r="B68" s="218"/>
      <c r="C68" s="218"/>
      <c r="D68" s="218"/>
      <c r="E68" s="218"/>
      <c r="F68" s="218"/>
      <c r="G68" s="218"/>
      <c r="H68" s="218"/>
      <c r="I68" s="220"/>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row>
    <row r="69" spans="1:35" ht="45" customHeight="1" x14ac:dyDescent="0.25">
      <c r="A69" s="218"/>
      <c r="B69" s="218"/>
      <c r="C69" s="218"/>
      <c r="D69" s="218"/>
      <c r="E69" s="218"/>
      <c r="F69" s="218"/>
      <c r="G69" s="218"/>
      <c r="H69" s="218"/>
      <c r="I69" s="220"/>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row>
    <row r="70" spans="1:35" ht="45" customHeight="1" x14ac:dyDescent="0.25">
      <c r="A70" s="218"/>
      <c r="B70" s="218"/>
      <c r="C70" s="218"/>
      <c r="D70" s="218"/>
      <c r="E70" s="218"/>
      <c r="F70" s="218"/>
      <c r="G70" s="218"/>
      <c r="H70" s="218"/>
      <c r="I70" s="220"/>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row>
    <row r="71" spans="1:35" ht="45" customHeight="1" x14ac:dyDescent="0.25">
      <c r="A71" s="218"/>
      <c r="B71" s="218"/>
      <c r="C71" s="218"/>
      <c r="D71" s="218"/>
      <c r="E71" s="218"/>
      <c r="F71" s="218"/>
      <c r="G71" s="218"/>
      <c r="H71" s="218"/>
      <c r="I71" s="220"/>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row>
    <row r="72" spans="1:35" ht="45" customHeight="1" x14ac:dyDescent="0.25">
      <c r="A72" s="218"/>
      <c r="B72" s="218"/>
      <c r="C72" s="218"/>
      <c r="D72" s="218"/>
      <c r="E72" s="218"/>
      <c r="F72" s="218"/>
      <c r="G72" s="218"/>
      <c r="H72" s="218"/>
      <c r="I72" s="220"/>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row>
    <row r="73" spans="1:35" ht="45" customHeight="1" x14ac:dyDescent="0.25">
      <c r="A73" s="218"/>
      <c r="B73" s="218"/>
      <c r="C73" s="218"/>
      <c r="D73" s="218"/>
      <c r="E73" s="218"/>
      <c r="F73" s="218"/>
      <c r="G73" s="218"/>
      <c r="H73" s="218"/>
      <c r="I73" s="220"/>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row>
    <row r="74" spans="1:35" ht="45" customHeight="1" x14ac:dyDescent="0.25">
      <c r="A74" s="218"/>
      <c r="B74" s="218"/>
      <c r="C74" s="218"/>
      <c r="D74" s="218"/>
      <c r="E74" s="218"/>
      <c r="F74" s="218"/>
      <c r="G74" s="218"/>
      <c r="H74" s="218"/>
      <c r="I74" s="220"/>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row>
    <row r="75" spans="1:35" ht="45" customHeight="1" x14ac:dyDescent="0.25">
      <c r="A75" s="218"/>
      <c r="B75" s="218"/>
      <c r="C75" s="218"/>
      <c r="D75" s="218"/>
      <c r="E75" s="218"/>
      <c r="F75" s="218"/>
      <c r="G75" s="218"/>
      <c r="H75" s="218"/>
      <c r="I75" s="220"/>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row>
    <row r="76" spans="1:35" ht="45" customHeight="1" x14ac:dyDescent="0.25">
      <c r="A76" s="218"/>
      <c r="B76" s="218"/>
      <c r="C76" s="218"/>
      <c r="D76" s="218"/>
      <c r="E76" s="218"/>
      <c r="F76" s="218"/>
      <c r="G76" s="218"/>
      <c r="H76" s="218"/>
      <c r="I76" s="220"/>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row>
    <row r="77" spans="1:35" ht="45" customHeight="1" x14ac:dyDescent="0.25">
      <c r="A77" s="218"/>
      <c r="B77" s="218"/>
      <c r="C77" s="218"/>
      <c r="D77" s="218"/>
      <c r="E77" s="218"/>
      <c r="F77" s="218"/>
      <c r="G77" s="218"/>
      <c r="H77" s="218"/>
      <c r="I77" s="220"/>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row>
    <row r="78" spans="1:35" ht="45" customHeight="1" x14ac:dyDescent="0.25"/>
    <row r="79" spans="1:35" ht="45" customHeight="1" x14ac:dyDescent="0.25"/>
    <row r="80" spans="1:35" ht="45" customHeight="1" x14ac:dyDescent="0.25"/>
    <row r="81" ht="45" customHeight="1" x14ac:dyDescent="0.25"/>
    <row r="82" ht="45" customHeight="1" x14ac:dyDescent="0.25"/>
    <row r="83" ht="45" customHeight="1" x14ac:dyDescent="0.25"/>
    <row r="84" ht="45" customHeight="1" x14ac:dyDescent="0.25"/>
    <row r="85" ht="45" customHeight="1" x14ac:dyDescent="0.25"/>
    <row r="86" ht="45" customHeight="1" x14ac:dyDescent="0.25"/>
  </sheetData>
  <mergeCells count="23">
    <mergeCell ref="K7:K8"/>
    <mergeCell ref="K9:K10"/>
    <mergeCell ref="K11:K13"/>
    <mergeCell ref="K17:K18"/>
    <mergeCell ref="K19:K20"/>
    <mergeCell ref="K21:K22"/>
    <mergeCell ref="K26:K27"/>
    <mergeCell ref="K28:K29"/>
    <mergeCell ref="B37:I37"/>
    <mergeCell ref="B30:I35"/>
    <mergeCell ref="F21:G21"/>
    <mergeCell ref="B22:I22"/>
    <mergeCell ref="B25:I25"/>
    <mergeCell ref="B26:I26"/>
    <mergeCell ref="B28:I28"/>
    <mergeCell ref="B2:I2"/>
    <mergeCell ref="B3:I3"/>
    <mergeCell ref="E5:I5"/>
    <mergeCell ref="B24:I24"/>
    <mergeCell ref="B12:I13"/>
    <mergeCell ref="B15:I16"/>
    <mergeCell ref="B18:I20"/>
    <mergeCell ref="B6:I10"/>
  </mergeCells>
  <phoneticPr fontId="6" type="noConversion"/>
  <conditionalFormatting sqref="K11:K13">
    <cfRule type="expression" dxfId="3" priority="1" stopIfTrue="1">
      <formula>IF($AY$1=1,TRUE,FALSE)</formula>
    </cfRule>
  </conditionalFormatting>
  <hyperlinks>
    <hyperlink ref="K11:K12" location="Pacht!A1" display="Zu-/Verpachtung bzw. Zu-/Verkauf"/>
    <hyperlink ref="K9:K10" location="'Internetfenster 2'!F6" display="Vergleichsbetrieb à"/>
    <hyperlink ref="K7:K8" location="'Internetfenster 1'!A1" display="Ausgangsbetrieb à"/>
    <hyperlink ref="K17" location="'Beiträge NT'!A1" display="Beiträge aus Nebentätigkeiten à"/>
    <hyperlink ref="K19" location="'Kleine Option'!A1" display="Kleine Option"/>
    <hyperlink ref="K21" location="'BTG und Beitragssatz'!A1" display="Beitragsgrundlage &amp; Beitragssatz"/>
    <hyperlink ref="K26" location="'Kleine Option'!A1" display="Kleine Option"/>
  </hyperlinks>
  <printOptions horizontalCentered="1"/>
  <pageMargins left="0.59055118110236227" right="0.59055118110236227" top="0.59055118110236227" bottom="0.59055118110236227" header="0.51181102362204722" footer="0.51181102362204722"/>
  <pageSetup paperSize="9" scale="83" orientation="landscape" r:id="rId1"/>
  <headerFooter alignWithMargins="0">
    <oddFooter>&amp;L&amp;8SVB-Beitragsberechnungsprogramm&amp;C&amp;8Bitte beachten: Die ermittelten Ergebnisse dienen lediglich der Information und sind unverbindlich!&amp;R&amp;8&amp;D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L84"/>
  <sheetViews>
    <sheetView showGridLines="0" topLeftCell="A4" zoomScale="95" zoomScaleNormal="95" workbookViewId="0">
      <selection activeCell="B5" sqref="B5"/>
    </sheetView>
  </sheetViews>
  <sheetFormatPr baseColWidth="10" defaultColWidth="11" defaultRowHeight="13.8" x14ac:dyDescent="0.25"/>
  <cols>
    <col min="1" max="1" width="11" style="134"/>
    <col min="2" max="3" width="19.59765625" style="134" customWidth="1"/>
    <col min="4" max="4" width="9.59765625" style="134" customWidth="1"/>
    <col min="5" max="5" width="2.59765625" style="134" customWidth="1"/>
    <col min="6" max="6" width="8.59765625" style="134" customWidth="1"/>
    <col min="7" max="7" width="19.59765625" style="134" customWidth="1"/>
    <col min="8" max="8" width="12.8984375" style="134" customWidth="1"/>
    <col min="9" max="9" width="2.59765625" style="134" customWidth="1"/>
    <col min="10" max="10" width="22.59765625" style="134" customWidth="1"/>
    <col min="11" max="11" width="7.59765625" style="134" customWidth="1"/>
    <col min="12" max="12" width="14.09765625" style="135" customWidth="1"/>
    <col min="13" max="13" width="4.09765625" style="134" customWidth="1"/>
    <col min="14" max="14" width="30.59765625" style="134" customWidth="1"/>
    <col min="15" max="15" width="11" style="134"/>
    <col min="16" max="18" width="13.69921875" style="134" customWidth="1"/>
    <col min="19" max="16384" width="11" style="134"/>
  </cols>
  <sheetData>
    <row r="1" spans="1:38" x14ac:dyDescent="0.25">
      <c r="A1" s="213"/>
      <c r="B1" s="213"/>
      <c r="C1" s="213"/>
      <c r="D1" s="213"/>
      <c r="E1" s="213"/>
      <c r="F1" s="213"/>
      <c r="G1" s="213"/>
      <c r="H1" s="213"/>
      <c r="I1" s="213"/>
      <c r="J1" s="213"/>
      <c r="K1" s="213"/>
      <c r="L1" s="214"/>
      <c r="M1" s="213"/>
      <c r="N1" s="213"/>
      <c r="O1" s="213"/>
      <c r="P1" s="213"/>
      <c r="Q1" s="213"/>
      <c r="R1" s="213"/>
      <c r="S1" s="218"/>
      <c r="T1" s="218"/>
      <c r="U1" s="218"/>
      <c r="V1" s="218"/>
      <c r="W1" s="218"/>
      <c r="X1" s="218"/>
      <c r="Y1" s="218"/>
      <c r="Z1" s="218"/>
      <c r="AA1" s="218"/>
      <c r="AB1" s="218"/>
      <c r="AC1" s="218"/>
      <c r="AD1" s="218"/>
      <c r="AE1" s="218"/>
      <c r="AF1" s="218"/>
      <c r="AG1" s="218"/>
      <c r="AH1" s="218"/>
      <c r="AI1" s="218"/>
      <c r="AJ1" s="218"/>
      <c r="AK1" s="218"/>
      <c r="AL1" s="218"/>
    </row>
    <row r="2" spans="1:38" s="136" customFormat="1" ht="21" x14ac:dyDescent="0.25">
      <c r="A2" s="215"/>
      <c r="B2" s="359" t="s">
        <v>231</v>
      </c>
      <c r="C2" s="359"/>
      <c r="D2" s="359"/>
      <c r="E2" s="359"/>
      <c r="F2" s="359"/>
      <c r="G2" s="359"/>
      <c r="H2" s="359"/>
      <c r="I2" s="359"/>
      <c r="J2" s="359"/>
      <c r="K2" s="359"/>
      <c r="L2" s="359"/>
      <c r="M2" s="215"/>
      <c r="N2" s="215"/>
      <c r="O2" s="215"/>
      <c r="P2" s="215"/>
      <c r="Q2" s="215"/>
      <c r="R2" s="215"/>
      <c r="S2" s="216"/>
      <c r="T2" s="216"/>
      <c r="U2" s="216"/>
      <c r="V2" s="216"/>
      <c r="W2" s="216"/>
      <c r="X2" s="216"/>
      <c r="Y2" s="216"/>
      <c r="Z2" s="216"/>
      <c r="AA2" s="216"/>
      <c r="AB2" s="216"/>
      <c r="AC2" s="216"/>
      <c r="AD2" s="216"/>
      <c r="AE2" s="216"/>
      <c r="AF2" s="216"/>
      <c r="AG2" s="216"/>
      <c r="AH2" s="216"/>
      <c r="AI2" s="216"/>
      <c r="AJ2" s="216"/>
      <c r="AK2" s="216"/>
      <c r="AL2" s="216"/>
    </row>
    <row r="3" spans="1:38" s="136" customFormat="1" ht="21" x14ac:dyDescent="0.25">
      <c r="A3" s="215"/>
      <c r="B3" s="359" t="s">
        <v>131</v>
      </c>
      <c r="C3" s="359"/>
      <c r="D3" s="359"/>
      <c r="E3" s="359"/>
      <c r="F3" s="359"/>
      <c r="G3" s="359"/>
      <c r="H3" s="359"/>
      <c r="I3" s="359"/>
      <c r="J3" s="359"/>
      <c r="K3" s="359"/>
      <c r="L3" s="359"/>
      <c r="M3" s="215"/>
      <c r="N3" s="215"/>
      <c r="O3" s="215"/>
      <c r="P3" s="215"/>
      <c r="Q3" s="215"/>
      <c r="R3" s="215"/>
      <c r="S3" s="216"/>
      <c r="T3" s="216"/>
      <c r="U3" s="216"/>
      <c r="V3" s="216"/>
      <c r="W3" s="216"/>
      <c r="X3" s="216"/>
      <c r="Y3" s="216"/>
      <c r="Z3" s="216"/>
      <c r="AA3" s="216"/>
      <c r="AB3" s="216"/>
      <c r="AC3" s="216"/>
      <c r="AD3" s="216"/>
      <c r="AE3" s="216"/>
      <c r="AF3" s="216"/>
      <c r="AG3" s="216"/>
      <c r="AH3" s="216"/>
      <c r="AI3" s="216"/>
      <c r="AJ3" s="216"/>
      <c r="AK3" s="216"/>
      <c r="AL3" s="216"/>
    </row>
    <row r="4" spans="1:38" s="136" customFormat="1" ht="6" customHeight="1" x14ac:dyDescent="0.25">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row>
    <row r="5" spans="1:38" s="136" customFormat="1" ht="21" x14ac:dyDescent="0.25">
      <c r="A5" s="216"/>
      <c r="B5" s="216"/>
      <c r="C5" s="216"/>
      <c r="D5" s="216"/>
      <c r="E5" s="221"/>
      <c r="F5" s="221"/>
      <c r="G5" s="360" t="s">
        <v>13</v>
      </c>
      <c r="H5" s="360"/>
      <c r="I5" s="360"/>
      <c r="J5" s="360"/>
      <c r="K5" s="360"/>
      <c r="L5" s="360"/>
      <c r="M5" s="216"/>
      <c r="N5" s="332" t="s">
        <v>261</v>
      </c>
      <c r="O5" s="216"/>
      <c r="P5" s="216"/>
      <c r="Q5" s="216"/>
      <c r="R5" s="216"/>
      <c r="S5" s="216"/>
      <c r="T5" s="216"/>
      <c r="U5" s="216"/>
      <c r="V5" s="216"/>
      <c r="W5" s="216"/>
      <c r="X5" s="216"/>
      <c r="Y5" s="216"/>
      <c r="Z5" s="216"/>
      <c r="AA5" s="216"/>
      <c r="AB5" s="216"/>
      <c r="AC5" s="216"/>
      <c r="AD5" s="216"/>
      <c r="AE5" s="216"/>
      <c r="AF5" s="216"/>
      <c r="AG5" s="216"/>
      <c r="AH5" s="216"/>
      <c r="AI5" s="216"/>
      <c r="AJ5" s="216"/>
      <c r="AK5" s="216"/>
      <c r="AL5" s="216"/>
    </row>
    <row r="6" spans="1:38" s="137" customFormat="1" ht="18" customHeight="1" x14ac:dyDescent="0.25">
      <c r="A6" s="217"/>
      <c r="B6" s="403" t="s">
        <v>10</v>
      </c>
      <c r="C6" s="403"/>
      <c r="D6" s="403"/>
      <c r="E6" s="403"/>
      <c r="F6" s="403"/>
      <c r="G6" s="403"/>
      <c r="H6" s="403"/>
      <c r="I6" s="403"/>
      <c r="J6" s="403"/>
      <c r="K6" s="403"/>
      <c r="L6" s="403"/>
      <c r="M6" s="217"/>
      <c r="N6" s="326" t="s">
        <v>247</v>
      </c>
      <c r="O6" s="217"/>
      <c r="P6" s="217"/>
      <c r="Q6" s="217"/>
      <c r="R6" s="217"/>
      <c r="S6" s="217"/>
      <c r="T6" s="217"/>
      <c r="U6" s="217"/>
      <c r="V6" s="217"/>
      <c r="W6" s="217"/>
      <c r="X6" s="217"/>
      <c r="Y6" s="217"/>
      <c r="Z6" s="217"/>
      <c r="AA6" s="217"/>
      <c r="AB6" s="217"/>
      <c r="AC6" s="217"/>
      <c r="AD6" s="217"/>
      <c r="AE6" s="217"/>
      <c r="AF6" s="217"/>
      <c r="AG6" s="217"/>
      <c r="AH6" s="217"/>
      <c r="AI6" s="217"/>
      <c r="AJ6" s="217"/>
      <c r="AK6" s="217"/>
      <c r="AL6" s="217"/>
    </row>
    <row r="7" spans="1:38" s="137" customFormat="1" ht="14.25" customHeight="1" x14ac:dyDescent="0.25">
      <c r="A7" s="217"/>
      <c r="B7" s="403"/>
      <c r="C7" s="403"/>
      <c r="D7" s="403"/>
      <c r="E7" s="403"/>
      <c r="F7" s="403"/>
      <c r="G7" s="403"/>
      <c r="H7" s="403"/>
      <c r="I7" s="403"/>
      <c r="J7" s="403"/>
      <c r="K7" s="403"/>
      <c r="L7" s="403"/>
      <c r="M7" s="217"/>
      <c r="N7" s="352" t="s">
        <v>296</v>
      </c>
      <c r="O7" s="217"/>
      <c r="P7" s="217"/>
      <c r="Q7" s="217"/>
      <c r="R7" s="217"/>
      <c r="S7" s="217"/>
      <c r="T7" s="217"/>
      <c r="U7" s="217"/>
      <c r="V7" s="217"/>
      <c r="W7" s="217"/>
      <c r="X7" s="217"/>
      <c r="Y7" s="217"/>
      <c r="Z7" s="217"/>
      <c r="AA7" s="217"/>
      <c r="AB7" s="217"/>
      <c r="AC7" s="217"/>
      <c r="AD7" s="217"/>
      <c r="AE7" s="217"/>
      <c r="AF7" s="217"/>
      <c r="AG7" s="217"/>
      <c r="AH7" s="217"/>
      <c r="AI7" s="217"/>
      <c r="AJ7" s="217"/>
      <c r="AK7" s="217"/>
      <c r="AL7" s="217"/>
    </row>
    <row r="8" spans="1:38" s="137" customFormat="1" ht="14.25" customHeight="1" x14ac:dyDescent="0.25">
      <c r="A8" s="217"/>
      <c r="B8" s="403"/>
      <c r="C8" s="403"/>
      <c r="D8" s="403"/>
      <c r="E8" s="403"/>
      <c r="F8" s="403"/>
      <c r="G8" s="403"/>
      <c r="H8" s="403"/>
      <c r="I8" s="403"/>
      <c r="J8" s="403"/>
      <c r="K8" s="403"/>
      <c r="L8" s="403"/>
      <c r="M8" s="217"/>
      <c r="N8" s="352"/>
      <c r="O8" s="217"/>
      <c r="P8" s="217"/>
      <c r="Q8" s="217"/>
      <c r="R8" s="217"/>
      <c r="S8" s="217"/>
      <c r="T8" s="217"/>
      <c r="U8" s="217"/>
      <c r="V8" s="217"/>
      <c r="W8" s="217"/>
      <c r="X8" s="217"/>
      <c r="Y8" s="217"/>
      <c r="Z8" s="217"/>
      <c r="AA8" s="217"/>
      <c r="AB8" s="217"/>
      <c r="AC8" s="217"/>
      <c r="AD8" s="217"/>
      <c r="AE8" s="217"/>
      <c r="AF8" s="217"/>
      <c r="AG8" s="217"/>
      <c r="AH8" s="217"/>
      <c r="AI8" s="217"/>
      <c r="AJ8" s="217"/>
      <c r="AK8" s="217"/>
      <c r="AL8" s="217"/>
    </row>
    <row r="9" spans="1:38" s="137" customFormat="1" ht="8.25" customHeight="1" x14ac:dyDescent="0.25">
      <c r="A9" s="217"/>
      <c r="B9" s="147"/>
      <c r="C9" s="147"/>
      <c r="D9" s="147"/>
      <c r="E9" s="147"/>
      <c r="F9" s="147"/>
      <c r="G9" s="147"/>
      <c r="H9" s="147"/>
      <c r="I9" s="147"/>
      <c r="J9" s="147"/>
      <c r="K9" s="147"/>
      <c r="L9" s="147"/>
      <c r="M9" s="217"/>
      <c r="N9" s="352" t="s">
        <v>297</v>
      </c>
      <c r="O9" s="217"/>
      <c r="P9" s="217"/>
      <c r="Q9" s="217"/>
      <c r="R9" s="217"/>
      <c r="S9" s="217"/>
      <c r="T9" s="217"/>
      <c r="U9" s="217"/>
      <c r="V9" s="217"/>
      <c r="W9" s="217"/>
      <c r="X9" s="217"/>
      <c r="Y9" s="217"/>
      <c r="Z9" s="217"/>
      <c r="AA9" s="217"/>
      <c r="AB9" s="217"/>
      <c r="AC9" s="217"/>
      <c r="AD9" s="217"/>
      <c r="AE9" s="217"/>
      <c r="AF9" s="217"/>
      <c r="AG9" s="217"/>
      <c r="AH9" s="217"/>
      <c r="AI9" s="217"/>
      <c r="AJ9" s="217"/>
      <c r="AK9" s="217"/>
      <c r="AL9" s="217"/>
    </row>
    <row r="10" spans="1:38" s="137" customFormat="1" ht="14.25" customHeight="1" x14ac:dyDescent="0.25">
      <c r="A10" s="217"/>
      <c r="B10" s="147"/>
      <c r="C10" s="147"/>
      <c r="D10" s="147"/>
      <c r="E10" s="384" t="s">
        <v>0</v>
      </c>
      <c r="F10" s="384"/>
      <c r="G10" s="384"/>
      <c r="H10" s="384"/>
      <c r="I10" s="147"/>
      <c r="J10" s="232" t="s">
        <v>11</v>
      </c>
      <c r="K10" s="159"/>
      <c r="L10" s="159"/>
      <c r="M10" s="217"/>
      <c r="N10" s="352"/>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38" s="137" customFormat="1" ht="14.25" customHeight="1" x14ac:dyDescent="0.25">
      <c r="A11" s="217"/>
      <c r="B11" s="147"/>
      <c r="C11" s="147"/>
      <c r="D11" s="147"/>
      <c r="E11" s="384"/>
      <c r="F11" s="384"/>
      <c r="G11" s="384"/>
      <c r="H11" s="384"/>
      <c r="I11" s="147"/>
      <c r="J11" s="426" t="s">
        <v>320</v>
      </c>
      <c r="K11" s="426"/>
      <c r="L11" s="426"/>
      <c r="M11" s="217"/>
      <c r="N11" s="355" t="s">
        <v>287</v>
      </c>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row>
    <row r="12" spans="1:38" s="137" customFormat="1" ht="14.25" customHeight="1" x14ac:dyDescent="0.25">
      <c r="A12" s="217"/>
      <c r="B12" s="147"/>
      <c r="C12" s="147"/>
      <c r="D12" s="147"/>
      <c r="E12" s="384"/>
      <c r="F12" s="384"/>
      <c r="G12" s="384"/>
      <c r="H12" s="384"/>
      <c r="I12" s="147"/>
      <c r="J12" s="426"/>
      <c r="K12" s="426"/>
      <c r="L12" s="426"/>
      <c r="M12" s="217"/>
      <c r="N12" s="352"/>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row>
    <row r="13" spans="1:38" s="137" customFormat="1" ht="14.25" customHeight="1" x14ac:dyDescent="0.25">
      <c r="A13" s="217"/>
      <c r="B13" s="147"/>
      <c r="C13" s="147"/>
      <c r="D13" s="147"/>
      <c r="E13" s="384"/>
      <c r="F13" s="384"/>
      <c r="G13" s="384"/>
      <c r="H13" s="384"/>
      <c r="I13" s="147"/>
      <c r="J13" s="426"/>
      <c r="K13" s="426"/>
      <c r="L13" s="426"/>
      <c r="M13" s="217"/>
      <c r="N13" s="352"/>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row>
    <row r="14" spans="1:38" s="137" customFormat="1" ht="14.25" customHeight="1" x14ac:dyDescent="0.25">
      <c r="A14" s="217"/>
      <c r="B14" s="138"/>
      <c r="C14" s="138"/>
      <c r="D14" s="138"/>
      <c r="E14" s="384"/>
      <c r="F14" s="384"/>
      <c r="G14" s="384"/>
      <c r="H14" s="384"/>
      <c r="I14" s="138"/>
      <c r="J14" s="426"/>
      <c r="K14" s="426"/>
      <c r="L14" s="42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row>
    <row r="15" spans="1:38" s="137" customFormat="1" ht="14.25" customHeight="1" x14ac:dyDescent="0.25">
      <c r="A15" s="217"/>
      <c r="B15" s="138"/>
      <c r="C15" s="138"/>
      <c r="D15" s="138"/>
      <c r="E15" s="138"/>
      <c r="F15" s="138"/>
      <c r="G15" s="138"/>
      <c r="H15" s="138"/>
      <c r="I15" s="138"/>
      <c r="J15" s="426"/>
      <c r="K15" s="426"/>
      <c r="L15" s="426"/>
      <c r="M15" s="217"/>
      <c r="N15" s="243" t="s">
        <v>311</v>
      </c>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row>
    <row r="16" spans="1:38" s="137" customFormat="1" ht="14.25" customHeight="1" x14ac:dyDescent="0.25">
      <c r="A16" s="217"/>
      <c r="B16" s="138"/>
      <c r="C16" s="138"/>
      <c r="D16" s="138"/>
      <c r="E16" s="384" t="s">
        <v>12</v>
      </c>
      <c r="F16" s="384"/>
      <c r="G16" s="384"/>
      <c r="H16" s="384"/>
      <c r="I16" s="138"/>
      <c r="J16" s="426"/>
      <c r="K16" s="426"/>
      <c r="L16" s="426"/>
      <c r="M16" s="217"/>
      <c r="N16" s="243" t="s">
        <v>310</v>
      </c>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row>
    <row r="17" spans="1:38" s="137" customFormat="1" ht="14.25" customHeight="1" x14ac:dyDescent="0.25">
      <c r="A17" s="217"/>
      <c r="B17" s="138"/>
      <c r="C17" s="138"/>
      <c r="D17" s="138"/>
      <c r="E17" s="384" t="s">
        <v>18</v>
      </c>
      <c r="F17" s="384"/>
      <c r="G17" s="384"/>
      <c r="H17" s="384"/>
      <c r="I17" s="384"/>
      <c r="J17" s="384"/>
      <c r="K17" s="384"/>
      <c r="L17" s="384"/>
      <c r="M17" s="217"/>
      <c r="N17" s="352" t="s">
        <v>256</v>
      </c>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row>
    <row r="18" spans="1:38" s="137" customFormat="1" ht="14.25" customHeight="1" x14ac:dyDescent="0.25">
      <c r="A18" s="217"/>
      <c r="B18" s="138"/>
      <c r="C18" s="138"/>
      <c r="D18" s="138"/>
      <c r="E18" s="384"/>
      <c r="F18" s="384"/>
      <c r="G18" s="384"/>
      <c r="H18" s="384"/>
      <c r="I18" s="384"/>
      <c r="J18" s="384"/>
      <c r="K18" s="384"/>
      <c r="L18" s="384"/>
      <c r="M18" s="217"/>
      <c r="N18" s="352"/>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row>
    <row r="19" spans="1:38" s="137" customFormat="1" ht="14.25" customHeight="1" x14ac:dyDescent="0.25">
      <c r="A19" s="217"/>
      <c r="B19" s="138"/>
      <c r="C19" s="138"/>
      <c r="D19" s="138"/>
      <c r="E19" s="138"/>
      <c r="F19" s="138"/>
      <c r="G19" s="138"/>
      <c r="H19" s="138"/>
      <c r="I19" s="138"/>
      <c r="J19" s="138"/>
      <c r="K19" s="138"/>
      <c r="L19" s="138"/>
      <c r="M19" s="217"/>
      <c r="N19" s="352"/>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row>
    <row r="20" spans="1:38" s="137" customFormat="1" ht="14.25" customHeight="1" x14ac:dyDescent="0.25">
      <c r="A20" s="217"/>
      <c r="B20" s="138"/>
      <c r="C20" s="138"/>
      <c r="D20" s="138"/>
      <c r="E20" s="138"/>
      <c r="F20" s="384" t="s">
        <v>85</v>
      </c>
      <c r="G20" s="384"/>
      <c r="H20" s="160">
        <f>VLOOKUP('Verknüpfungen 1'!A2,Wertedatenbank!A3:L21,Wertedatenbank!J22)</f>
        <v>1.9E-2</v>
      </c>
      <c r="I20" s="138"/>
      <c r="J20" s="431" t="str">
        <f>IF(VLOOKUP('Verknüpfungen 1'!A2,Wertedatenbank!A3:AC21,Wertedatenbank!AA22)="","",VLOOKUP('Verknüpfungen 1'!A2,Wertedatenbank!A3:AC21,Wertedatenbank!AA22))</f>
        <v/>
      </c>
      <c r="K20" s="431"/>
      <c r="L20" s="431"/>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row>
    <row r="21" spans="1:38" s="137" customFormat="1" ht="14.25" customHeight="1" x14ac:dyDescent="0.25">
      <c r="A21" s="217"/>
      <c r="B21" s="155"/>
      <c r="C21" s="155"/>
      <c r="D21" s="155"/>
      <c r="E21" s="155"/>
      <c r="F21" s="400" t="s">
        <v>86</v>
      </c>
      <c r="G21" s="400"/>
      <c r="H21" s="160">
        <f>VLOOKUP('Verknüpfungen 1'!A2,Wertedatenbank!A3:L21,Wertedatenbank!H22)</f>
        <v>6.8000000000000005E-2</v>
      </c>
      <c r="I21" s="155"/>
      <c r="J21" s="431"/>
      <c r="K21" s="431"/>
      <c r="L21" s="431"/>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row>
    <row r="22" spans="1:38" s="137" customFormat="1" ht="14.25" customHeight="1" x14ac:dyDescent="0.25">
      <c r="A22" s="217"/>
      <c r="B22" s="154"/>
      <c r="C22" s="138"/>
      <c r="D22" s="138"/>
      <c r="E22" s="138"/>
      <c r="F22" s="400" t="s">
        <v>87</v>
      </c>
      <c r="G22" s="400"/>
      <c r="H22" s="160">
        <f>VLOOKUP('Verknüpfungen 1'!A2,Wertedatenbank!A3:L21,Wertedatenbank!I22)</f>
        <v>0.17</v>
      </c>
      <c r="I22" s="138"/>
      <c r="J22" s="431"/>
      <c r="K22" s="431"/>
      <c r="L22" s="431"/>
      <c r="M22" s="217"/>
      <c r="N22" s="243" t="s">
        <v>261</v>
      </c>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row>
    <row r="23" spans="1:38" s="137" customFormat="1" ht="14.25" customHeight="1" x14ac:dyDescent="0.25">
      <c r="A23" s="217"/>
      <c r="B23" s="156"/>
      <c r="C23" s="155"/>
      <c r="D23" s="155"/>
      <c r="E23" s="155"/>
      <c r="F23" s="155"/>
      <c r="G23" s="155"/>
      <c r="H23" s="155"/>
      <c r="I23" s="155"/>
      <c r="J23" s="155"/>
      <c r="K23" s="155"/>
      <c r="L23" s="155"/>
      <c r="M23" s="217"/>
      <c r="N23" s="243" t="s">
        <v>309</v>
      </c>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row>
    <row r="24" spans="1:38" s="137" customFormat="1" ht="14.25" customHeight="1" x14ac:dyDescent="0.25">
      <c r="A24" s="217"/>
      <c r="B24" s="154"/>
      <c r="C24" s="138"/>
      <c r="D24" s="138"/>
      <c r="E24" s="384" t="s">
        <v>321</v>
      </c>
      <c r="F24" s="384"/>
      <c r="G24" s="384"/>
      <c r="H24" s="384"/>
      <c r="I24" s="384"/>
      <c r="J24" s="384"/>
      <c r="K24" s="384"/>
      <c r="L24" s="384"/>
      <c r="M24" s="217"/>
      <c r="N24" s="352" t="s">
        <v>317</v>
      </c>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row>
    <row r="25" spans="1:38" s="137" customFormat="1" ht="14.25" customHeight="1" x14ac:dyDescent="0.25">
      <c r="A25" s="217"/>
      <c r="B25" s="138"/>
      <c r="C25" s="138"/>
      <c r="D25" s="138"/>
      <c r="E25" s="384"/>
      <c r="F25" s="384"/>
      <c r="G25" s="384"/>
      <c r="H25" s="384"/>
      <c r="I25" s="384"/>
      <c r="J25" s="384"/>
      <c r="K25" s="384"/>
      <c r="L25" s="384"/>
      <c r="M25" s="217"/>
      <c r="N25" s="352"/>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row>
    <row r="26" spans="1:38" s="137" customFormat="1" ht="14.25" customHeight="1" x14ac:dyDescent="0.25">
      <c r="A26" s="217"/>
      <c r="B26" s="400" t="s">
        <v>19</v>
      </c>
      <c r="C26" s="400"/>
      <c r="D26" s="400"/>
      <c r="E26" s="400"/>
      <c r="F26" s="400"/>
      <c r="G26" s="400"/>
      <c r="H26" s="400"/>
      <c r="I26" s="400"/>
      <c r="J26" s="400"/>
      <c r="K26" s="400"/>
      <c r="L26" s="400"/>
      <c r="M26" s="217"/>
      <c r="N26" s="352" t="s">
        <v>318</v>
      </c>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row>
    <row r="27" spans="1:38" s="137" customFormat="1" ht="14.25" customHeight="1" x14ac:dyDescent="0.25">
      <c r="A27" s="217"/>
      <c r="B27" s="400"/>
      <c r="C27" s="400"/>
      <c r="D27" s="400"/>
      <c r="E27" s="400"/>
      <c r="F27" s="400"/>
      <c r="G27" s="400"/>
      <c r="H27" s="400"/>
      <c r="I27" s="400"/>
      <c r="J27" s="400"/>
      <c r="K27" s="400"/>
      <c r="L27" s="400"/>
      <c r="M27" s="217"/>
      <c r="N27" s="352"/>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row>
    <row r="28" spans="1:38" s="137" customFormat="1" ht="14.25" customHeight="1" x14ac:dyDescent="0.25">
      <c r="A28" s="217"/>
      <c r="B28" s="152"/>
      <c r="C28" s="152"/>
      <c r="D28" s="152"/>
      <c r="E28" s="152"/>
      <c r="F28" s="152"/>
      <c r="G28" s="152"/>
      <c r="H28" s="152"/>
      <c r="I28" s="152"/>
      <c r="J28" s="152"/>
      <c r="K28" s="152"/>
      <c r="L28" s="152"/>
      <c r="M28" s="217"/>
      <c r="N28" s="352"/>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row>
    <row r="29" spans="1:38" s="137" customFormat="1" ht="14.25" customHeight="1" x14ac:dyDescent="0.25">
      <c r="A29" s="217"/>
      <c r="B29" s="384" t="s">
        <v>322</v>
      </c>
      <c r="C29" s="384"/>
      <c r="D29" s="384"/>
      <c r="E29" s="384"/>
      <c r="F29" s="384"/>
      <c r="G29" s="384"/>
      <c r="H29" s="384"/>
      <c r="I29" s="384"/>
      <c r="J29" s="384"/>
      <c r="K29" s="384"/>
      <c r="L29" s="384"/>
      <c r="M29" s="217"/>
      <c r="N29" s="352"/>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row>
    <row r="30" spans="1:38" s="137" customFormat="1" ht="14.25" customHeight="1" x14ac:dyDescent="0.25">
      <c r="A30" s="217"/>
      <c r="B30" s="384"/>
      <c r="C30" s="384"/>
      <c r="D30" s="384"/>
      <c r="E30" s="384"/>
      <c r="F30" s="384"/>
      <c r="G30" s="384"/>
      <c r="H30" s="384"/>
      <c r="I30" s="384"/>
      <c r="J30" s="384"/>
      <c r="K30" s="384"/>
      <c r="L30" s="384"/>
      <c r="M30" s="217"/>
      <c r="N30" s="352"/>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row>
    <row r="31" spans="1:38" s="137" customFormat="1" ht="14.25" customHeight="1" x14ac:dyDescent="0.25">
      <c r="A31" s="217"/>
      <c r="B31" s="384"/>
      <c r="C31" s="384"/>
      <c r="D31" s="384"/>
      <c r="E31" s="384"/>
      <c r="F31" s="384"/>
      <c r="G31" s="384"/>
      <c r="H31" s="384"/>
      <c r="I31" s="384"/>
      <c r="J31" s="384"/>
      <c r="K31" s="384"/>
      <c r="L31" s="384"/>
      <c r="M31" s="217"/>
      <c r="N31" s="352"/>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row>
    <row r="32" spans="1:38" s="137" customFormat="1" ht="4.5" customHeight="1" x14ac:dyDescent="0.25">
      <c r="A32" s="217"/>
      <c r="B32" s="152"/>
      <c r="C32" s="152"/>
      <c r="D32" s="152"/>
      <c r="E32" s="152"/>
      <c r="F32" s="152"/>
      <c r="G32" s="152"/>
      <c r="H32" s="152"/>
      <c r="I32" s="152"/>
      <c r="J32" s="152"/>
      <c r="K32" s="152"/>
      <c r="L32" s="152"/>
      <c r="M32" s="217"/>
      <c r="N32" s="308"/>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row>
    <row r="33" spans="1:38" ht="4.5" customHeight="1" x14ac:dyDescent="0.25">
      <c r="A33" s="218"/>
      <c r="B33" s="152"/>
      <c r="C33" s="152"/>
      <c r="D33" s="152"/>
      <c r="E33" s="152"/>
      <c r="F33" s="152"/>
      <c r="G33" s="152"/>
      <c r="H33" s="152"/>
      <c r="I33" s="152"/>
      <c r="J33" s="152"/>
      <c r="K33" s="152"/>
      <c r="L33" s="152"/>
      <c r="M33" s="218"/>
      <c r="N33" s="334"/>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row>
    <row r="34" spans="1:38" ht="4.5" customHeight="1" x14ac:dyDescent="0.25">
      <c r="A34" s="218"/>
      <c r="B34" s="138"/>
      <c r="C34" s="138"/>
      <c r="D34" s="138"/>
      <c r="E34" s="138"/>
      <c r="F34" s="138"/>
      <c r="G34" s="138"/>
      <c r="H34" s="138"/>
      <c r="I34" s="138"/>
      <c r="J34" s="138"/>
      <c r="K34" s="138"/>
      <c r="L34" s="138"/>
      <c r="M34" s="218"/>
      <c r="N34" s="334"/>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row>
    <row r="35" spans="1:38" s="14" customFormat="1" ht="30" customHeight="1" x14ac:dyDescent="0.25">
      <c r="A35" s="219"/>
      <c r="B35" s="397" t="s">
        <v>298</v>
      </c>
      <c r="C35" s="397"/>
      <c r="D35" s="397"/>
      <c r="E35" s="397"/>
      <c r="F35" s="397"/>
      <c r="G35" s="397"/>
      <c r="H35" s="397"/>
      <c r="I35" s="397"/>
      <c r="J35" s="397"/>
      <c r="K35" s="397"/>
      <c r="L35" s="397"/>
      <c r="M35" s="219"/>
      <c r="N35" s="334"/>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row>
    <row r="36" spans="1:38" ht="45" customHeight="1" x14ac:dyDescent="0.25">
      <c r="A36" s="218"/>
      <c r="B36" s="218"/>
      <c r="C36" s="218"/>
      <c r="D36" s="218"/>
      <c r="E36" s="218"/>
      <c r="F36" s="218"/>
      <c r="G36" s="218"/>
      <c r="H36" s="218"/>
      <c r="I36" s="218"/>
      <c r="J36" s="218"/>
      <c r="K36" s="218"/>
      <c r="L36" s="220"/>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row>
    <row r="37" spans="1:38" ht="45" customHeight="1" x14ac:dyDescent="0.25">
      <c r="A37" s="218"/>
      <c r="B37" s="218"/>
      <c r="C37" s="218"/>
      <c r="D37" s="218"/>
      <c r="E37" s="218"/>
      <c r="F37" s="218"/>
      <c r="G37" s="218"/>
      <c r="H37" s="218"/>
      <c r="I37" s="218"/>
      <c r="J37" s="218"/>
      <c r="K37" s="218"/>
      <c r="L37" s="220"/>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row>
    <row r="38" spans="1:38" ht="45" customHeight="1" x14ac:dyDescent="0.25">
      <c r="A38" s="218"/>
      <c r="B38" s="218"/>
      <c r="C38" s="218"/>
      <c r="D38" s="218"/>
      <c r="E38" s="218"/>
      <c r="F38" s="218"/>
      <c r="G38" s="218"/>
      <c r="H38" s="218"/>
      <c r="I38" s="218"/>
      <c r="J38" s="218"/>
      <c r="K38" s="218"/>
      <c r="L38" s="220"/>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row>
    <row r="39" spans="1:38" ht="45" customHeight="1" x14ac:dyDescent="0.25">
      <c r="A39" s="218"/>
      <c r="B39" s="218"/>
      <c r="C39" s="218"/>
      <c r="D39" s="218"/>
      <c r="E39" s="218"/>
      <c r="F39" s="218"/>
      <c r="G39" s="218"/>
      <c r="H39" s="218"/>
      <c r="I39" s="218"/>
      <c r="J39" s="218"/>
      <c r="K39" s="218"/>
      <c r="L39" s="220"/>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row>
    <row r="40" spans="1:38" ht="45" customHeight="1" x14ac:dyDescent="0.25">
      <c r="A40" s="218"/>
      <c r="B40" s="218"/>
      <c r="C40" s="218"/>
      <c r="D40" s="218"/>
      <c r="E40" s="218"/>
      <c r="F40" s="218"/>
      <c r="G40" s="218"/>
      <c r="H40" s="218"/>
      <c r="I40" s="218"/>
      <c r="J40" s="218"/>
      <c r="K40" s="218"/>
      <c r="L40" s="220"/>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row>
    <row r="41" spans="1:38" ht="45" customHeight="1" x14ac:dyDescent="0.25">
      <c r="A41" s="218"/>
      <c r="B41" s="218"/>
      <c r="C41" s="218"/>
      <c r="D41" s="218"/>
      <c r="E41" s="218"/>
      <c r="F41" s="218"/>
      <c r="G41" s="218"/>
      <c r="H41" s="218"/>
      <c r="I41" s="218"/>
      <c r="J41" s="218"/>
      <c r="K41" s="218"/>
      <c r="L41" s="220"/>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row>
    <row r="42" spans="1:38" ht="45" customHeight="1" x14ac:dyDescent="0.25">
      <c r="A42" s="218"/>
      <c r="B42" s="218"/>
      <c r="C42" s="218"/>
      <c r="D42" s="218"/>
      <c r="E42" s="218"/>
      <c r="F42" s="218"/>
      <c r="G42" s="218"/>
      <c r="H42" s="218"/>
      <c r="I42" s="218"/>
      <c r="J42" s="218"/>
      <c r="K42" s="218"/>
      <c r="L42" s="220"/>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row>
    <row r="43" spans="1:38" ht="45" customHeight="1" x14ac:dyDescent="0.25">
      <c r="A43" s="218"/>
      <c r="B43" s="218"/>
      <c r="C43" s="218"/>
      <c r="D43" s="218"/>
      <c r="E43" s="218"/>
      <c r="F43" s="218"/>
      <c r="G43" s="218"/>
      <c r="H43" s="218"/>
      <c r="I43" s="218"/>
      <c r="J43" s="218"/>
      <c r="K43" s="218"/>
      <c r="L43" s="220"/>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row>
    <row r="44" spans="1:38" ht="45" customHeight="1" x14ac:dyDescent="0.25">
      <c r="A44" s="218"/>
      <c r="B44" s="218"/>
      <c r="C44" s="218"/>
      <c r="D44" s="218"/>
      <c r="E44" s="218"/>
      <c r="F44" s="218"/>
      <c r="G44" s="218"/>
      <c r="H44" s="218"/>
      <c r="I44" s="218"/>
      <c r="J44" s="218"/>
      <c r="K44" s="218"/>
      <c r="L44" s="220"/>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row>
    <row r="45" spans="1:38" ht="45" customHeight="1" x14ac:dyDescent="0.25">
      <c r="A45" s="218"/>
      <c r="B45" s="218"/>
      <c r="C45" s="218"/>
      <c r="D45" s="218"/>
      <c r="E45" s="218"/>
      <c r="F45" s="218"/>
      <c r="G45" s="218"/>
      <c r="H45" s="218"/>
      <c r="I45" s="218"/>
      <c r="J45" s="218"/>
      <c r="K45" s="218"/>
      <c r="L45" s="220"/>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row>
    <row r="46" spans="1:38" ht="45" customHeight="1" x14ac:dyDescent="0.25">
      <c r="A46" s="218"/>
      <c r="B46" s="218"/>
      <c r="C46" s="218"/>
      <c r="D46" s="218"/>
      <c r="E46" s="218"/>
      <c r="F46" s="218"/>
      <c r="G46" s="218"/>
      <c r="H46" s="218"/>
      <c r="I46" s="218"/>
      <c r="J46" s="218"/>
      <c r="K46" s="218"/>
      <c r="L46" s="220"/>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row>
    <row r="47" spans="1:38" ht="45" customHeight="1" x14ac:dyDescent="0.25">
      <c r="A47" s="218"/>
      <c r="B47" s="218"/>
      <c r="C47" s="218"/>
      <c r="D47" s="218"/>
      <c r="E47" s="218"/>
      <c r="F47" s="218"/>
      <c r="G47" s="218"/>
      <c r="H47" s="218"/>
      <c r="I47" s="218"/>
      <c r="J47" s="218"/>
      <c r="K47" s="218"/>
      <c r="L47" s="220"/>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row>
    <row r="48" spans="1:38" ht="45" customHeight="1" x14ac:dyDescent="0.25">
      <c r="A48" s="218"/>
      <c r="B48" s="218"/>
      <c r="C48" s="218"/>
      <c r="D48" s="218"/>
      <c r="E48" s="218"/>
      <c r="F48" s="218"/>
      <c r="G48" s="218"/>
      <c r="H48" s="218"/>
      <c r="I48" s="218"/>
      <c r="J48" s="218"/>
      <c r="K48" s="218"/>
      <c r="L48" s="220"/>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row>
    <row r="49" spans="1:38" ht="45" customHeight="1" x14ac:dyDescent="0.25">
      <c r="A49" s="218"/>
      <c r="B49" s="218"/>
      <c r="C49" s="218"/>
      <c r="D49" s="218"/>
      <c r="E49" s="218"/>
      <c r="F49" s="218"/>
      <c r="G49" s="218"/>
      <c r="H49" s="218"/>
      <c r="I49" s="218"/>
      <c r="J49" s="218"/>
      <c r="K49" s="218"/>
      <c r="L49" s="220"/>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row>
    <row r="50" spans="1:38" ht="45" customHeight="1" x14ac:dyDescent="0.25">
      <c r="A50" s="218"/>
      <c r="B50" s="218"/>
      <c r="C50" s="218"/>
      <c r="D50" s="218"/>
      <c r="E50" s="218"/>
      <c r="F50" s="218"/>
      <c r="G50" s="218"/>
      <c r="H50" s="218"/>
      <c r="I50" s="218"/>
      <c r="J50" s="218"/>
      <c r="K50" s="218"/>
      <c r="L50" s="220"/>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row>
    <row r="51" spans="1:38" ht="45" customHeight="1" x14ac:dyDescent="0.25">
      <c r="A51" s="218"/>
      <c r="B51" s="218"/>
      <c r="C51" s="218"/>
      <c r="D51" s="218"/>
      <c r="E51" s="218"/>
      <c r="F51" s="218"/>
      <c r="G51" s="218"/>
      <c r="H51" s="218"/>
      <c r="I51" s="218"/>
      <c r="J51" s="218"/>
      <c r="K51" s="218"/>
      <c r="L51" s="220"/>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row>
    <row r="52" spans="1:38" ht="45" customHeight="1" x14ac:dyDescent="0.25">
      <c r="A52" s="218"/>
      <c r="B52" s="218"/>
      <c r="C52" s="218"/>
      <c r="D52" s="218"/>
      <c r="E52" s="218"/>
      <c r="F52" s="218"/>
      <c r="G52" s="218"/>
      <c r="H52" s="218"/>
      <c r="I52" s="218"/>
      <c r="J52" s="218"/>
      <c r="K52" s="218"/>
      <c r="L52" s="220"/>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row>
    <row r="53" spans="1:38" ht="45" customHeight="1" x14ac:dyDescent="0.25">
      <c r="A53" s="218"/>
      <c r="B53" s="218"/>
      <c r="C53" s="218"/>
      <c r="D53" s="218"/>
      <c r="E53" s="218"/>
      <c r="F53" s="218"/>
      <c r="G53" s="218"/>
      <c r="H53" s="218"/>
      <c r="I53" s="218"/>
      <c r="J53" s="218"/>
      <c r="K53" s="218"/>
      <c r="L53" s="220"/>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row>
    <row r="54" spans="1:38" ht="45" customHeight="1" x14ac:dyDescent="0.25">
      <c r="A54" s="218"/>
      <c r="B54" s="218"/>
      <c r="C54" s="218"/>
      <c r="D54" s="218"/>
      <c r="E54" s="218"/>
      <c r="F54" s="218"/>
      <c r="G54" s="218"/>
      <c r="H54" s="218"/>
      <c r="I54" s="218"/>
      <c r="J54" s="218"/>
      <c r="K54" s="218"/>
      <c r="L54" s="220"/>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row>
    <row r="55" spans="1:38" ht="45" customHeight="1" x14ac:dyDescent="0.25">
      <c r="A55" s="218"/>
      <c r="B55" s="218"/>
      <c r="C55" s="218"/>
      <c r="D55" s="218"/>
      <c r="E55" s="218"/>
      <c r="F55" s="218"/>
      <c r="G55" s="218"/>
      <c r="H55" s="218"/>
      <c r="I55" s="218"/>
      <c r="J55" s="218"/>
      <c r="K55" s="218"/>
      <c r="L55" s="220"/>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row>
    <row r="56" spans="1:38" ht="45" customHeight="1" x14ac:dyDescent="0.25">
      <c r="A56" s="218"/>
      <c r="B56" s="218"/>
      <c r="C56" s="218"/>
      <c r="D56" s="218"/>
      <c r="E56" s="218"/>
      <c r="F56" s="218"/>
      <c r="G56" s="218"/>
      <c r="H56" s="218"/>
      <c r="I56" s="218"/>
      <c r="J56" s="218"/>
      <c r="K56" s="218"/>
      <c r="L56" s="220"/>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row>
    <row r="57" spans="1:38" ht="45" customHeight="1" x14ac:dyDescent="0.25">
      <c r="A57" s="218"/>
      <c r="B57" s="218"/>
      <c r="C57" s="218"/>
      <c r="D57" s="218"/>
      <c r="E57" s="218"/>
      <c r="F57" s="218"/>
      <c r="G57" s="218"/>
      <c r="H57" s="218"/>
      <c r="I57" s="218"/>
      <c r="J57" s="218"/>
      <c r="K57" s="218"/>
      <c r="L57" s="220"/>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row>
    <row r="58" spans="1:38" ht="45" customHeight="1" x14ac:dyDescent="0.25">
      <c r="A58" s="218"/>
      <c r="B58" s="218"/>
      <c r="C58" s="218"/>
      <c r="D58" s="218"/>
      <c r="E58" s="218"/>
      <c r="F58" s="218"/>
      <c r="G58" s="218"/>
      <c r="H58" s="218"/>
      <c r="I58" s="218"/>
      <c r="J58" s="218"/>
      <c r="K58" s="218"/>
      <c r="L58" s="220"/>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row>
    <row r="59" spans="1:38" ht="45" customHeight="1" x14ac:dyDescent="0.25">
      <c r="A59" s="218"/>
      <c r="B59" s="218"/>
      <c r="C59" s="218"/>
      <c r="D59" s="218"/>
      <c r="E59" s="218"/>
      <c r="F59" s="218"/>
      <c r="G59" s="218"/>
      <c r="H59" s="218"/>
      <c r="I59" s="218"/>
      <c r="J59" s="218"/>
      <c r="K59" s="218"/>
      <c r="L59" s="220"/>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row>
    <row r="60" spans="1:38" ht="45" customHeight="1" x14ac:dyDescent="0.25">
      <c r="A60" s="218"/>
      <c r="B60" s="218"/>
      <c r="C60" s="218"/>
      <c r="D60" s="218"/>
      <c r="E60" s="218"/>
      <c r="F60" s="218"/>
      <c r="G60" s="218"/>
      <c r="H60" s="218"/>
      <c r="I60" s="218"/>
      <c r="J60" s="218"/>
      <c r="K60" s="218"/>
      <c r="L60" s="220"/>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row>
    <row r="61" spans="1:38" ht="45" customHeight="1" x14ac:dyDescent="0.25">
      <c r="A61" s="218"/>
      <c r="B61" s="218"/>
      <c r="C61" s="218"/>
      <c r="D61" s="218"/>
      <c r="E61" s="218"/>
      <c r="F61" s="218"/>
      <c r="G61" s="218"/>
      <c r="H61" s="218"/>
      <c r="I61" s="218"/>
      <c r="J61" s="218"/>
      <c r="K61" s="218"/>
      <c r="L61" s="220"/>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row>
    <row r="62" spans="1:38" ht="45" customHeight="1" x14ac:dyDescent="0.25">
      <c r="A62" s="218"/>
      <c r="B62" s="218"/>
      <c r="C62" s="218"/>
      <c r="D62" s="218"/>
      <c r="E62" s="218"/>
      <c r="F62" s="218"/>
      <c r="G62" s="218"/>
      <c r="H62" s="218"/>
      <c r="I62" s="218"/>
      <c r="J62" s="218"/>
      <c r="K62" s="218"/>
      <c r="L62" s="220"/>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row>
    <row r="63" spans="1:38" ht="45" customHeight="1" x14ac:dyDescent="0.25">
      <c r="A63" s="218"/>
      <c r="B63" s="218"/>
      <c r="C63" s="218"/>
      <c r="D63" s="218"/>
      <c r="E63" s="218"/>
      <c r="F63" s="218"/>
      <c r="G63" s="218"/>
      <c r="H63" s="218"/>
      <c r="I63" s="218"/>
      <c r="J63" s="218"/>
      <c r="K63" s="218"/>
      <c r="L63" s="220"/>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row>
    <row r="64" spans="1:38" ht="45" customHeight="1" x14ac:dyDescent="0.25">
      <c r="A64" s="218"/>
      <c r="B64" s="218"/>
      <c r="C64" s="218"/>
      <c r="D64" s="218"/>
      <c r="E64" s="218"/>
      <c r="F64" s="218"/>
      <c r="G64" s="218"/>
      <c r="H64" s="218"/>
      <c r="I64" s="218"/>
      <c r="J64" s="218"/>
      <c r="K64" s="218"/>
      <c r="L64" s="220"/>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row>
    <row r="65" spans="1:38" ht="45" customHeight="1" x14ac:dyDescent="0.25">
      <c r="A65" s="218"/>
      <c r="B65" s="218"/>
      <c r="C65" s="218"/>
      <c r="D65" s="218"/>
      <c r="E65" s="218"/>
      <c r="F65" s="218"/>
      <c r="G65" s="218"/>
      <c r="H65" s="218"/>
      <c r="I65" s="218"/>
      <c r="J65" s="218"/>
      <c r="K65" s="218"/>
      <c r="L65" s="220"/>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row>
    <row r="66" spans="1:38" ht="45" customHeight="1" x14ac:dyDescent="0.25">
      <c r="A66" s="218"/>
      <c r="B66" s="218"/>
      <c r="C66" s="218"/>
      <c r="D66" s="218"/>
      <c r="E66" s="218"/>
      <c r="F66" s="218"/>
      <c r="G66" s="218"/>
      <c r="H66" s="218"/>
      <c r="I66" s="218"/>
      <c r="J66" s="218"/>
      <c r="K66" s="218"/>
      <c r="L66" s="220"/>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row>
    <row r="67" spans="1:38" ht="45" customHeight="1" x14ac:dyDescent="0.25">
      <c r="A67" s="218"/>
      <c r="B67" s="218"/>
      <c r="C67" s="218"/>
      <c r="D67" s="218"/>
      <c r="E67" s="218"/>
      <c r="F67" s="218"/>
      <c r="G67" s="218"/>
      <c r="H67" s="218"/>
      <c r="I67" s="218"/>
      <c r="J67" s="218"/>
      <c r="K67" s="218"/>
      <c r="L67" s="220"/>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row>
    <row r="68" spans="1:38" ht="45" customHeight="1" x14ac:dyDescent="0.25">
      <c r="A68" s="218"/>
      <c r="B68" s="218"/>
      <c r="C68" s="218"/>
      <c r="D68" s="218"/>
      <c r="E68" s="218"/>
      <c r="F68" s="218"/>
      <c r="G68" s="218"/>
      <c r="H68" s="218"/>
      <c r="I68" s="218"/>
      <c r="J68" s="218"/>
      <c r="K68" s="218"/>
      <c r="L68" s="220"/>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row>
    <row r="69" spans="1:38" ht="45" customHeight="1" x14ac:dyDescent="0.25">
      <c r="A69" s="218"/>
      <c r="B69" s="218"/>
      <c r="C69" s="218"/>
      <c r="D69" s="218"/>
      <c r="E69" s="218"/>
      <c r="F69" s="218"/>
      <c r="G69" s="218"/>
      <c r="H69" s="218"/>
      <c r="I69" s="218"/>
      <c r="J69" s="218"/>
      <c r="K69" s="218"/>
      <c r="L69" s="220"/>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row>
    <row r="70" spans="1:38" ht="45" customHeight="1" x14ac:dyDescent="0.25">
      <c r="A70" s="218"/>
      <c r="B70" s="218"/>
      <c r="C70" s="218"/>
      <c r="D70" s="218"/>
      <c r="E70" s="218"/>
      <c r="F70" s="218"/>
      <c r="G70" s="218"/>
      <c r="H70" s="218"/>
      <c r="I70" s="218"/>
      <c r="J70" s="218"/>
      <c r="K70" s="218"/>
      <c r="L70" s="220"/>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row>
    <row r="71" spans="1:38" ht="45" customHeight="1" x14ac:dyDescent="0.25">
      <c r="A71" s="218"/>
      <c r="B71" s="218"/>
      <c r="C71" s="218"/>
      <c r="D71" s="218"/>
      <c r="E71" s="218"/>
      <c r="F71" s="218"/>
      <c r="G71" s="218"/>
      <c r="H71" s="218"/>
      <c r="I71" s="218"/>
      <c r="J71" s="218"/>
      <c r="K71" s="218"/>
      <c r="L71" s="220"/>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row>
    <row r="72" spans="1:38" ht="45" customHeight="1" x14ac:dyDescent="0.25">
      <c r="A72" s="218"/>
      <c r="B72" s="218"/>
      <c r="C72" s="218"/>
      <c r="D72" s="218"/>
      <c r="E72" s="218"/>
      <c r="F72" s="218"/>
      <c r="G72" s="218"/>
      <c r="H72" s="218"/>
      <c r="I72" s="218"/>
      <c r="J72" s="218"/>
      <c r="K72" s="218"/>
      <c r="L72" s="220"/>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row>
    <row r="73" spans="1:38" ht="45" customHeight="1" x14ac:dyDescent="0.25">
      <c r="A73" s="218"/>
      <c r="B73" s="218"/>
      <c r="C73" s="218"/>
      <c r="D73" s="218"/>
      <c r="E73" s="218"/>
      <c r="F73" s="218"/>
      <c r="G73" s="218"/>
      <c r="H73" s="218"/>
      <c r="I73" s="218"/>
      <c r="J73" s="218"/>
      <c r="K73" s="218"/>
      <c r="L73" s="220"/>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row>
    <row r="74" spans="1:38" ht="45" customHeight="1" x14ac:dyDescent="0.25">
      <c r="A74" s="218"/>
      <c r="B74" s="218"/>
      <c r="C74" s="218"/>
      <c r="D74" s="218"/>
      <c r="E74" s="218"/>
      <c r="F74" s="218"/>
      <c r="G74" s="218"/>
      <c r="H74" s="218"/>
      <c r="I74" s="218"/>
      <c r="J74" s="218"/>
      <c r="K74" s="218"/>
      <c r="L74" s="220"/>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row>
    <row r="75" spans="1:38" ht="45" customHeight="1" x14ac:dyDescent="0.25">
      <c r="A75" s="218"/>
      <c r="B75" s="218"/>
      <c r="C75" s="218"/>
      <c r="D75" s="218"/>
      <c r="E75" s="218"/>
      <c r="F75" s="218"/>
      <c r="G75" s="218"/>
      <c r="H75" s="218"/>
      <c r="I75" s="218"/>
      <c r="J75" s="218"/>
      <c r="K75" s="218"/>
      <c r="L75" s="220"/>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row>
    <row r="76" spans="1:38" ht="45" customHeight="1" x14ac:dyDescent="0.25">
      <c r="A76" s="218"/>
      <c r="B76" s="218"/>
      <c r="C76" s="218"/>
      <c r="D76" s="218"/>
      <c r="E76" s="218"/>
      <c r="F76" s="218"/>
      <c r="G76" s="218"/>
      <c r="H76" s="218"/>
      <c r="I76" s="218"/>
      <c r="J76" s="218"/>
      <c r="K76" s="218"/>
      <c r="L76" s="220"/>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row>
    <row r="77" spans="1:38" ht="45" customHeight="1" x14ac:dyDescent="0.25">
      <c r="A77" s="218"/>
      <c r="B77" s="218"/>
      <c r="C77" s="218"/>
      <c r="D77" s="218"/>
      <c r="E77" s="218"/>
      <c r="F77" s="218"/>
      <c r="G77" s="218"/>
      <c r="H77" s="218"/>
      <c r="I77" s="218"/>
      <c r="J77" s="218"/>
      <c r="K77" s="218"/>
      <c r="L77" s="220"/>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row>
    <row r="78" spans="1:38" ht="45" customHeight="1" x14ac:dyDescent="0.25">
      <c r="A78" s="218"/>
      <c r="B78" s="218"/>
      <c r="C78" s="218"/>
      <c r="D78" s="218"/>
      <c r="E78" s="218"/>
      <c r="F78" s="218"/>
      <c r="G78" s="218"/>
      <c r="H78" s="218"/>
      <c r="I78" s="218"/>
      <c r="J78" s="218"/>
      <c r="K78" s="218"/>
      <c r="L78" s="220"/>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row>
    <row r="79" spans="1:38" ht="45" customHeight="1" x14ac:dyDescent="0.25">
      <c r="A79" s="218"/>
      <c r="B79" s="218"/>
      <c r="C79" s="218"/>
      <c r="D79" s="218"/>
      <c r="E79" s="218"/>
      <c r="F79" s="218"/>
      <c r="G79" s="218"/>
      <c r="H79" s="218"/>
      <c r="I79" s="218"/>
      <c r="J79" s="218"/>
      <c r="K79" s="218"/>
      <c r="L79" s="220"/>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row>
    <row r="80" spans="1:38" ht="45" customHeight="1" x14ac:dyDescent="0.25">
      <c r="A80" s="218"/>
      <c r="B80" s="218"/>
      <c r="C80" s="218"/>
      <c r="D80" s="218"/>
      <c r="E80" s="218"/>
      <c r="F80" s="218"/>
      <c r="G80" s="218"/>
      <c r="H80" s="218"/>
      <c r="I80" s="218"/>
      <c r="J80" s="218"/>
      <c r="K80" s="218"/>
      <c r="L80" s="220"/>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row>
    <row r="81" spans="1:38" ht="45" customHeight="1" x14ac:dyDescent="0.25">
      <c r="A81" s="218"/>
      <c r="B81" s="218"/>
      <c r="C81" s="218"/>
      <c r="D81" s="218"/>
      <c r="E81" s="218"/>
      <c r="F81" s="218"/>
      <c r="G81" s="218"/>
      <c r="H81" s="218"/>
      <c r="I81" s="218"/>
      <c r="J81" s="218"/>
      <c r="K81" s="218"/>
      <c r="L81" s="220"/>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row>
    <row r="82" spans="1:38" ht="45" customHeight="1" x14ac:dyDescent="0.25"/>
    <row r="83" spans="1:38" ht="45" customHeight="1" x14ac:dyDescent="0.25"/>
    <row r="84" spans="1:38" ht="45" customHeight="1" x14ac:dyDescent="0.25"/>
  </sheetData>
  <mergeCells count="24">
    <mergeCell ref="N30:N31"/>
    <mergeCell ref="B6:L8"/>
    <mergeCell ref="N7:N8"/>
    <mergeCell ref="N9:N10"/>
    <mergeCell ref="N11:N13"/>
    <mergeCell ref="N17:N19"/>
    <mergeCell ref="N24:N25"/>
    <mergeCell ref="N26:N27"/>
    <mergeCell ref="N28:N29"/>
    <mergeCell ref="J11:L16"/>
    <mergeCell ref="B29:L31"/>
    <mergeCell ref="B35:L35"/>
    <mergeCell ref="B26:L27"/>
    <mergeCell ref="F20:G20"/>
    <mergeCell ref="F22:G22"/>
    <mergeCell ref="E24:L25"/>
    <mergeCell ref="J20:L22"/>
    <mergeCell ref="F21:G21"/>
    <mergeCell ref="B2:L2"/>
    <mergeCell ref="B3:L3"/>
    <mergeCell ref="G5:L5"/>
    <mergeCell ref="E17:L18"/>
    <mergeCell ref="E10:H14"/>
    <mergeCell ref="E16:H16"/>
  </mergeCells>
  <phoneticPr fontId="6" type="noConversion"/>
  <conditionalFormatting sqref="N11:N13">
    <cfRule type="expression" dxfId="2" priority="1" stopIfTrue="1">
      <formula>IF($AY$1=1,TRUE,FALSE)</formula>
    </cfRule>
  </conditionalFormatting>
  <hyperlinks>
    <hyperlink ref="N11:N12" location="Pacht!A1" display="Zu-/Verpachtung bzw. Zu-/Verkauf"/>
    <hyperlink ref="N9:N10" location="'Internetfenster 2'!F6" display="Vergleichsbetrieb à"/>
    <hyperlink ref="N7:N8" location="'Internetfenster 1'!A1" display="Ausgangsbetrieb à"/>
    <hyperlink ref="N17" location="'Beiträge aus EHW'!I5" display="Beiträge aus dem Einheitswert à"/>
    <hyperlink ref="N24" location="'Kleine Option'!A1" display="Kleine Option"/>
    <hyperlink ref="N26" location="'BTG-Option'!A1" display="Beitragsgrundlagen-Option"/>
  </hyperlinks>
  <printOptions horizontalCentered="1"/>
  <pageMargins left="0.59055118110236227" right="0.59055118110236227" top="0.59055118110236227" bottom="0.59055118110236227" header="0.51181102362204722" footer="0.51181102362204722"/>
  <pageSetup paperSize="9" scale="82" orientation="landscape" r:id="rId1"/>
  <headerFooter alignWithMargins="0">
    <oddFooter>&amp;L&amp;8SVB-Beitragsberechnungsprogramm&amp;C&amp;8Bitte beachten: Die ermittelten Ergebnisse dienen lediglich der Information und sind unverbindlich!&amp;R&amp;8&amp;D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Q84"/>
  <sheetViews>
    <sheetView showGridLines="0" zoomScale="95" zoomScaleNormal="95" workbookViewId="0">
      <selection activeCell="H5" sqref="H5:L5"/>
    </sheetView>
  </sheetViews>
  <sheetFormatPr baseColWidth="10" defaultColWidth="11" defaultRowHeight="13.8" x14ac:dyDescent="0.25"/>
  <cols>
    <col min="1" max="1" width="11" style="134"/>
    <col min="2" max="2" width="2.59765625" style="134" customWidth="1"/>
    <col min="3" max="3" width="17.59765625" style="134" customWidth="1"/>
    <col min="4" max="4" width="19.59765625" style="134" customWidth="1"/>
    <col min="5" max="5" width="15.59765625" style="134" customWidth="1"/>
    <col min="6" max="7" width="2.59765625" style="134" customWidth="1"/>
    <col min="8" max="8" width="19.59765625" style="134" customWidth="1"/>
    <col min="9" max="10" width="14.8984375" style="134" customWidth="1"/>
    <col min="11" max="11" width="17.8984375" style="134" customWidth="1"/>
    <col min="12" max="12" width="11.8984375" style="135" customWidth="1"/>
    <col min="13" max="13" width="4.09765625" style="134" customWidth="1"/>
    <col min="14" max="14" width="30.59765625" style="134" customWidth="1"/>
    <col min="15" max="15" width="11" style="134"/>
    <col min="16" max="18" width="13.69921875" style="134" customWidth="1"/>
    <col min="19" max="16384" width="11" style="134"/>
  </cols>
  <sheetData>
    <row r="1" spans="1:43" x14ac:dyDescent="0.25">
      <c r="A1" s="228"/>
      <c r="B1" s="228"/>
      <c r="C1" s="228"/>
      <c r="D1" s="228"/>
      <c r="E1" s="228"/>
      <c r="F1" s="228"/>
      <c r="G1" s="228"/>
      <c r="H1" s="228"/>
      <c r="I1" s="228"/>
      <c r="J1" s="228"/>
      <c r="K1" s="228"/>
      <c r="L1" s="242"/>
      <c r="M1" s="228"/>
      <c r="N1" s="228"/>
      <c r="O1" s="228"/>
      <c r="P1" s="213"/>
      <c r="Q1" s="213"/>
      <c r="R1" s="213"/>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row>
    <row r="2" spans="1:43" s="136" customFormat="1" ht="21" x14ac:dyDescent="0.25">
      <c r="A2" s="229"/>
      <c r="B2" s="359" t="s">
        <v>231</v>
      </c>
      <c r="C2" s="359"/>
      <c r="D2" s="359"/>
      <c r="E2" s="359"/>
      <c r="F2" s="359"/>
      <c r="G2" s="359"/>
      <c r="H2" s="359"/>
      <c r="I2" s="359"/>
      <c r="J2" s="359"/>
      <c r="K2" s="359"/>
      <c r="L2" s="359"/>
      <c r="M2" s="229"/>
      <c r="N2" s="229"/>
      <c r="O2" s="229"/>
      <c r="P2" s="215"/>
      <c r="Q2" s="215"/>
      <c r="R2" s="215"/>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row>
    <row r="3" spans="1:43" s="136" customFormat="1" ht="21" x14ac:dyDescent="0.25">
      <c r="A3" s="229"/>
      <c r="B3" s="359" t="s">
        <v>131</v>
      </c>
      <c r="C3" s="359"/>
      <c r="D3" s="359"/>
      <c r="E3" s="359"/>
      <c r="F3" s="359"/>
      <c r="G3" s="359"/>
      <c r="H3" s="359"/>
      <c r="I3" s="359"/>
      <c r="J3" s="359"/>
      <c r="K3" s="359"/>
      <c r="L3" s="359"/>
      <c r="M3" s="229"/>
      <c r="N3" s="229"/>
      <c r="O3" s="229"/>
      <c r="P3" s="215"/>
      <c r="Q3" s="215"/>
      <c r="R3" s="215"/>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row>
    <row r="4" spans="1:43" s="136" customFormat="1" ht="6" customHeight="1" x14ac:dyDescent="0.25">
      <c r="A4" s="229"/>
      <c r="B4" s="229"/>
      <c r="C4" s="229"/>
      <c r="D4" s="229"/>
      <c r="E4" s="229"/>
      <c r="F4" s="229"/>
      <c r="G4" s="229"/>
      <c r="H4" s="229"/>
      <c r="I4" s="229"/>
      <c r="J4" s="229"/>
      <c r="K4" s="229"/>
      <c r="L4" s="229"/>
      <c r="M4" s="229"/>
      <c r="N4" s="229"/>
      <c r="O4" s="229"/>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row>
    <row r="5" spans="1:43" s="136" customFormat="1" ht="21" x14ac:dyDescent="0.25">
      <c r="A5" s="229"/>
      <c r="B5" s="229"/>
      <c r="C5" s="229"/>
      <c r="D5" s="229"/>
      <c r="E5" s="229"/>
      <c r="F5" s="229"/>
      <c r="G5" s="229"/>
      <c r="H5" s="422" t="s">
        <v>201</v>
      </c>
      <c r="I5" s="422"/>
      <c r="J5" s="422"/>
      <c r="K5" s="422"/>
      <c r="L5" s="422"/>
      <c r="M5" s="229"/>
      <c r="N5" s="243" t="s">
        <v>261</v>
      </c>
      <c r="O5" s="229"/>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row>
    <row r="6" spans="1:43" s="137" customFormat="1" ht="18" customHeight="1" x14ac:dyDescent="0.25">
      <c r="A6" s="217"/>
      <c r="B6" s="403" t="s">
        <v>204</v>
      </c>
      <c r="C6" s="403"/>
      <c r="D6" s="403"/>
      <c r="E6" s="403"/>
      <c r="F6" s="403"/>
      <c r="G6" s="403"/>
      <c r="H6" s="403"/>
      <c r="I6" s="403"/>
      <c r="J6" s="403"/>
      <c r="K6" s="403"/>
      <c r="L6" s="403"/>
      <c r="M6" s="217"/>
      <c r="N6" s="326" t="s">
        <v>247</v>
      </c>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row>
    <row r="7" spans="1:43" s="137" customFormat="1" ht="14.25" customHeight="1" x14ac:dyDescent="0.25">
      <c r="A7" s="217"/>
      <c r="B7" s="403"/>
      <c r="C7" s="403"/>
      <c r="D7" s="403"/>
      <c r="E7" s="403"/>
      <c r="F7" s="403"/>
      <c r="G7" s="403"/>
      <c r="H7" s="403"/>
      <c r="I7" s="403"/>
      <c r="J7" s="403"/>
      <c r="K7" s="403"/>
      <c r="L7" s="403"/>
      <c r="M7" s="217"/>
      <c r="N7" s="352" t="s">
        <v>296</v>
      </c>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row>
    <row r="8" spans="1:43" s="137" customFormat="1" ht="14.25" customHeight="1" x14ac:dyDescent="0.25">
      <c r="A8" s="217"/>
      <c r="B8" s="403"/>
      <c r="C8" s="403"/>
      <c r="D8" s="403"/>
      <c r="E8" s="403"/>
      <c r="F8" s="403"/>
      <c r="G8" s="403"/>
      <c r="H8" s="403"/>
      <c r="I8" s="403"/>
      <c r="J8" s="403"/>
      <c r="K8" s="403"/>
      <c r="L8" s="403"/>
      <c r="M8" s="217"/>
      <c r="N8" s="352"/>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row>
    <row r="9" spans="1:43" s="137" customFormat="1" ht="14.25" customHeight="1" x14ac:dyDescent="0.25">
      <c r="A9" s="217"/>
      <c r="B9" s="403"/>
      <c r="C9" s="403"/>
      <c r="D9" s="403"/>
      <c r="E9" s="403"/>
      <c r="F9" s="403"/>
      <c r="G9" s="403"/>
      <c r="H9" s="403"/>
      <c r="I9" s="403"/>
      <c r="J9" s="403"/>
      <c r="K9" s="403"/>
      <c r="L9" s="403"/>
      <c r="M9" s="217"/>
      <c r="N9" s="352" t="s">
        <v>297</v>
      </c>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row>
    <row r="10" spans="1:43" s="137" customFormat="1" ht="14.25" customHeight="1" x14ac:dyDescent="0.25">
      <c r="A10" s="217"/>
      <c r="B10" s="157"/>
      <c r="C10" s="147"/>
      <c r="D10" s="147"/>
      <c r="E10" s="147"/>
      <c r="F10" s="147"/>
      <c r="G10" s="147"/>
      <c r="H10" s="145"/>
      <c r="I10" s="145"/>
      <c r="J10" s="145"/>
      <c r="K10" s="145"/>
      <c r="L10" s="145"/>
      <c r="M10" s="217"/>
      <c r="N10" s="352"/>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row>
    <row r="11" spans="1:43" s="137" customFormat="1" ht="14.25" customHeight="1" x14ac:dyDescent="0.25">
      <c r="A11" s="217"/>
      <c r="B11" s="157" t="s">
        <v>151</v>
      </c>
      <c r="C11" s="386" t="s">
        <v>202</v>
      </c>
      <c r="D11" s="386"/>
      <c r="E11" s="386"/>
      <c r="F11" s="386"/>
      <c r="G11" s="386"/>
      <c r="H11" s="386"/>
      <c r="I11" s="386"/>
      <c r="J11" s="386"/>
      <c r="K11" s="386"/>
      <c r="L11" s="386"/>
      <c r="M11" s="217"/>
      <c r="N11" s="355" t="s">
        <v>292</v>
      </c>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row>
    <row r="12" spans="1:43" s="137" customFormat="1" ht="14.25" customHeight="1" x14ac:dyDescent="0.25">
      <c r="A12" s="217"/>
      <c r="B12" s="157" t="s">
        <v>151</v>
      </c>
      <c r="C12" s="386" t="s">
        <v>203</v>
      </c>
      <c r="D12" s="386"/>
      <c r="E12" s="386"/>
      <c r="F12" s="386"/>
      <c r="G12" s="386"/>
      <c r="H12" s="386"/>
      <c r="I12" s="386"/>
      <c r="J12" s="386"/>
      <c r="K12" s="386"/>
      <c r="L12" s="386"/>
      <c r="M12" s="217"/>
      <c r="N12" s="352"/>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row>
    <row r="13" spans="1:43" s="137" customFormat="1" ht="14.25" customHeight="1" x14ac:dyDescent="0.25">
      <c r="A13" s="217"/>
      <c r="B13" s="157" t="s">
        <v>151</v>
      </c>
      <c r="C13" s="386" t="s">
        <v>205</v>
      </c>
      <c r="D13" s="386"/>
      <c r="E13" s="386"/>
      <c r="F13" s="386"/>
      <c r="G13" s="386"/>
      <c r="H13" s="386"/>
      <c r="I13" s="386"/>
      <c r="J13" s="386"/>
      <c r="K13" s="386"/>
      <c r="L13" s="386"/>
      <c r="M13" s="217"/>
      <c r="N13" s="352"/>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row>
    <row r="14" spans="1:43" s="137" customFormat="1" ht="14.25" customHeight="1" x14ac:dyDescent="0.25">
      <c r="A14" s="217"/>
      <c r="B14" s="138"/>
      <c r="C14" s="138"/>
      <c r="D14" s="138"/>
      <c r="E14" s="138"/>
      <c r="F14" s="138"/>
      <c r="G14" s="138"/>
      <c r="H14" s="138"/>
      <c r="I14" s="138"/>
      <c r="J14" s="138"/>
      <c r="K14" s="138"/>
      <c r="L14" s="138"/>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row>
    <row r="15" spans="1:43" s="137" customFormat="1" ht="14.25" customHeight="1" x14ac:dyDescent="0.25">
      <c r="A15" s="217"/>
      <c r="B15" s="384" t="s">
        <v>237</v>
      </c>
      <c r="C15" s="384"/>
      <c r="D15" s="384"/>
      <c r="E15" s="384"/>
      <c r="F15" s="384"/>
      <c r="G15" s="384"/>
      <c r="H15" s="384"/>
      <c r="I15" s="384"/>
      <c r="J15" s="384"/>
      <c r="K15" s="384"/>
      <c r="L15" s="384"/>
      <c r="M15" s="217"/>
      <c r="N15" s="243" t="s">
        <v>311</v>
      </c>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row>
    <row r="16" spans="1:43" s="137" customFormat="1" ht="14.25" customHeight="1" x14ac:dyDescent="0.25">
      <c r="A16" s="217"/>
      <c r="B16" s="384"/>
      <c r="C16" s="384"/>
      <c r="D16" s="384"/>
      <c r="E16" s="384"/>
      <c r="F16" s="384"/>
      <c r="G16" s="384"/>
      <c r="H16" s="384"/>
      <c r="I16" s="384"/>
      <c r="J16" s="384"/>
      <c r="K16" s="384"/>
      <c r="L16" s="384"/>
      <c r="M16" s="217"/>
      <c r="N16" s="243" t="s">
        <v>310</v>
      </c>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row>
    <row r="17" spans="1:43" s="137" customFormat="1" ht="14.25" customHeight="1" x14ac:dyDescent="0.25">
      <c r="A17" s="217"/>
      <c r="B17" s="147"/>
      <c r="C17" s="147"/>
      <c r="D17" s="147"/>
      <c r="E17" s="147"/>
      <c r="F17" s="147"/>
      <c r="G17" s="147"/>
      <c r="H17" s="147"/>
      <c r="I17" s="147"/>
      <c r="J17" s="147"/>
      <c r="K17" s="147"/>
      <c r="L17" s="147"/>
      <c r="M17" s="217"/>
      <c r="N17" s="352" t="s">
        <v>256</v>
      </c>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row>
    <row r="18" spans="1:43" s="137" customFormat="1" ht="14.25" customHeight="1" x14ac:dyDescent="0.25">
      <c r="A18" s="217"/>
      <c r="B18" s="384" t="s">
        <v>238</v>
      </c>
      <c r="C18" s="384"/>
      <c r="D18" s="384"/>
      <c r="E18" s="384"/>
      <c r="F18" s="384"/>
      <c r="G18" s="384"/>
      <c r="H18" s="384"/>
      <c r="I18" s="384"/>
      <c r="J18" s="384"/>
      <c r="K18" s="384"/>
      <c r="L18" s="384"/>
      <c r="M18" s="217"/>
      <c r="N18" s="352"/>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row>
    <row r="19" spans="1:43" s="137" customFormat="1" ht="14.25" customHeight="1" x14ac:dyDescent="0.25">
      <c r="A19" s="217"/>
      <c r="B19" s="384"/>
      <c r="C19" s="384"/>
      <c r="D19" s="384"/>
      <c r="E19" s="384"/>
      <c r="F19" s="384"/>
      <c r="G19" s="384"/>
      <c r="H19" s="384"/>
      <c r="I19" s="384"/>
      <c r="J19" s="384"/>
      <c r="K19" s="384"/>
      <c r="L19" s="384"/>
      <c r="M19" s="217"/>
      <c r="N19" s="355" t="s">
        <v>260</v>
      </c>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row>
    <row r="20" spans="1:43" s="137" customFormat="1" ht="14.25" customHeight="1" x14ac:dyDescent="0.25">
      <c r="A20" s="217"/>
      <c r="B20" s="384"/>
      <c r="C20" s="384"/>
      <c r="D20" s="384"/>
      <c r="E20" s="384"/>
      <c r="F20" s="384"/>
      <c r="G20" s="384"/>
      <c r="H20" s="384"/>
      <c r="I20" s="384"/>
      <c r="J20" s="384"/>
      <c r="K20" s="384"/>
      <c r="L20" s="384"/>
      <c r="M20" s="217"/>
      <c r="N20" s="355"/>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row>
    <row r="21" spans="1:43" s="137" customFormat="1" ht="14.25" customHeight="1" x14ac:dyDescent="0.25">
      <c r="A21" s="217"/>
      <c r="B21" s="147"/>
      <c r="C21" s="147"/>
      <c r="D21" s="147"/>
      <c r="E21" s="147"/>
      <c r="F21" s="147"/>
      <c r="G21" s="147"/>
      <c r="H21" s="147"/>
      <c r="I21" s="147"/>
      <c r="J21" s="147"/>
      <c r="K21" s="147"/>
      <c r="L21" s="147"/>
      <c r="M21" s="217"/>
      <c r="N21" s="355"/>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row>
    <row r="22" spans="1:43" s="137" customFormat="1" ht="14.25" customHeight="1" x14ac:dyDescent="0.25">
      <c r="A22" s="217"/>
      <c r="B22" s="404" t="s">
        <v>200</v>
      </c>
      <c r="C22" s="404"/>
      <c r="D22" s="147"/>
      <c r="E22" s="147"/>
      <c r="F22" s="147"/>
      <c r="G22" s="147"/>
      <c r="H22" s="147"/>
      <c r="I22" s="147"/>
      <c r="J22" s="147"/>
      <c r="K22" s="147"/>
      <c r="L22" s="147"/>
      <c r="M22" s="217"/>
      <c r="N22" s="308"/>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row>
    <row r="23" spans="1:43" s="137" customFormat="1" ht="14.25" customHeight="1" x14ac:dyDescent="0.25">
      <c r="A23" s="217"/>
      <c r="B23" s="166"/>
      <c r="C23" s="166"/>
      <c r="D23" s="166"/>
      <c r="E23" s="166"/>
      <c r="F23" s="166"/>
      <c r="G23" s="166"/>
      <c r="H23" s="166"/>
      <c r="I23" s="166"/>
      <c r="J23" s="166"/>
      <c r="K23" s="166"/>
      <c r="L23" s="166"/>
      <c r="M23" s="217"/>
      <c r="N23" s="308"/>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row>
    <row r="24" spans="1:43" s="137" customFormat="1" ht="14.25" customHeight="1" x14ac:dyDescent="0.25">
      <c r="A24" s="217"/>
      <c r="B24" s="386" t="s">
        <v>206</v>
      </c>
      <c r="C24" s="386"/>
      <c r="D24" s="386"/>
      <c r="E24" s="386"/>
      <c r="F24" s="386"/>
      <c r="G24" s="386"/>
      <c r="H24" s="386"/>
      <c r="I24" s="386"/>
      <c r="J24" s="386"/>
      <c r="K24" s="386"/>
      <c r="L24" s="386"/>
      <c r="M24" s="217"/>
      <c r="N24" s="308"/>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row>
    <row r="25" spans="1:43" s="137" customFormat="1" ht="14.25" customHeight="1" x14ac:dyDescent="0.25">
      <c r="A25" s="217"/>
      <c r="B25" s="386"/>
      <c r="C25" s="386"/>
      <c r="D25" s="386"/>
      <c r="E25" s="386"/>
      <c r="F25" s="386"/>
      <c r="G25" s="386"/>
      <c r="H25" s="386"/>
      <c r="I25" s="386"/>
      <c r="J25" s="386"/>
      <c r="K25" s="386"/>
      <c r="L25" s="386"/>
      <c r="M25" s="217"/>
      <c r="N25" s="308"/>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row>
    <row r="26" spans="1:43" s="137" customFormat="1" ht="14.25" customHeight="1" x14ac:dyDescent="0.25">
      <c r="A26" s="217"/>
      <c r="B26" s="147"/>
      <c r="C26" s="147"/>
      <c r="D26" s="147"/>
      <c r="E26" s="147"/>
      <c r="F26" s="147"/>
      <c r="G26" s="147"/>
      <c r="H26" s="147"/>
      <c r="I26" s="147"/>
      <c r="J26" s="147"/>
      <c r="K26" s="147"/>
      <c r="L26" s="147"/>
      <c r="M26" s="217"/>
      <c r="N26" s="308"/>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row>
    <row r="27" spans="1:43" s="137" customFormat="1" ht="14.25" customHeight="1" x14ac:dyDescent="0.25">
      <c r="A27" s="217"/>
      <c r="B27" s="147"/>
      <c r="C27" s="147"/>
      <c r="D27" s="147"/>
      <c r="E27" s="147"/>
      <c r="F27" s="147"/>
      <c r="G27" s="147"/>
      <c r="H27" s="147"/>
      <c r="I27" s="147"/>
      <c r="J27" s="147"/>
      <c r="K27" s="147"/>
      <c r="L27" s="147"/>
      <c r="M27" s="217"/>
      <c r="N27" s="308"/>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row>
    <row r="28" spans="1:43" s="137" customFormat="1" ht="14.25" customHeight="1" x14ac:dyDescent="0.25">
      <c r="A28" s="217"/>
      <c r="B28" s="138"/>
      <c r="C28" s="152"/>
      <c r="D28" s="152"/>
      <c r="E28" s="152"/>
      <c r="F28" s="152"/>
      <c r="G28" s="152"/>
      <c r="H28" s="152"/>
      <c r="I28" s="152"/>
      <c r="J28" s="152"/>
      <c r="K28" s="152"/>
      <c r="L28" s="152"/>
      <c r="M28" s="217"/>
      <c r="N28" s="308"/>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row>
    <row r="29" spans="1:43" s="137" customFormat="1" ht="14.25" customHeight="1" x14ac:dyDescent="0.25">
      <c r="A29" s="217"/>
      <c r="B29" s="155"/>
      <c r="C29" s="155"/>
      <c r="D29" s="155"/>
      <c r="E29" s="155"/>
      <c r="F29" s="155"/>
      <c r="G29" s="155"/>
      <c r="H29" s="155"/>
      <c r="I29" s="155"/>
      <c r="J29" s="155"/>
      <c r="K29" s="155"/>
      <c r="L29" s="155"/>
      <c r="M29" s="217"/>
      <c r="N29" s="308"/>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row>
    <row r="30" spans="1:43" s="137" customFormat="1" ht="14.25" customHeight="1" x14ac:dyDescent="0.25">
      <c r="A30" s="217"/>
      <c r="B30" s="155"/>
      <c r="C30" s="155"/>
      <c r="D30" s="155"/>
      <c r="E30" s="155"/>
      <c r="F30" s="155"/>
      <c r="G30" s="155"/>
      <c r="H30" s="155"/>
      <c r="I30" s="155"/>
      <c r="J30" s="155"/>
      <c r="K30" s="155"/>
      <c r="L30" s="155"/>
      <c r="M30" s="217"/>
      <c r="N30" s="308"/>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row>
    <row r="31" spans="1:43" s="137" customFormat="1" ht="14.25" customHeight="1" x14ac:dyDescent="0.25">
      <c r="A31" s="217"/>
      <c r="B31" s="152"/>
      <c r="C31" s="152"/>
      <c r="D31" s="152"/>
      <c r="E31" s="152"/>
      <c r="F31" s="152"/>
      <c r="G31" s="152"/>
      <c r="H31" s="152"/>
      <c r="I31" s="152"/>
      <c r="J31" s="152"/>
      <c r="K31" s="152"/>
      <c r="L31" s="152"/>
      <c r="M31" s="217"/>
      <c r="N31" s="308"/>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row>
    <row r="32" spans="1:43" s="137" customFormat="1" ht="14.25" customHeight="1" x14ac:dyDescent="0.25">
      <c r="A32" s="217"/>
      <c r="B32" s="138"/>
      <c r="C32" s="138"/>
      <c r="D32" s="138"/>
      <c r="E32" s="138"/>
      <c r="F32" s="138"/>
      <c r="G32" s="138"/>
      <c r="H32" s="138"/>
      <c r="I32" s="138"/>
      <c r="J32" s="138"/>
      <c r="K32" s="138"/>
      <c r="L32" s="138"/>
      <c r="M32" s="217"/>
      <c r="N32" s="308"/>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row>
    <row r="33" spans="1:43" ht="14.25" customHeight="1" x14ac:dyDescent="0.25">
      <c r="A33" s="218"/>
      <c r="B33" s="152"/>
      <c r="C33" s="152"/>
      <c r="D33" s="152"/>
      <c r="E33" s="152"/>
      <c r="F33" s="152"/>
      <c r="G33" s="152"/>
      <c r="H33" s="152"/>
      <c r="I33" s="152"/>
      <c r="J33" s="152"/>
      <c r="K33" s="152"/>
      <c r="L33" s="152"/>
      <c r="M33" s="218"/>
      <c r="N33" s="334"/>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row>
    <row r="34" spans="1:43" ht="4.5" customHeight="1" x14ac:dyDescent="0.25">
      <c r="A34" s="218"/>
      <c r="B34" s="138"/>
      <c r="C34" s="138"/>
      <c r="D34" s="138"/>
      <c r="E34" s="138"/>
      <c r="F34" s="138"/>
      <c r="G34" s="138"/>
      <c r="H34" s="138"/>
      <c r="I34" s="138"/>
      <c r="J34" s="138"/>
      <c r="K34" s="138"/>
      <c r="L34" s="138"/>
      <c r="M34" s="218"/>
      <c r="N34" s="334"/>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row>
    <row r="35" spans="1:43" s="14" customFormat="1" ht="30" customHeight="1" x14ac:dyDescent="0.25">
      <c r="A35" s="219"/>
      <c r="B35" s="397" t="s">
        <v>298</v>
      </c>
      <c r="C35" s="397"/>
      <c r="D35" s="397"/>
      <c r="E35" s="397"/>
      <c r="F35" s="397"/>
      <c r="G35" s="397"/>
      <c r="H35" s="397"/>
      <c r="I35" s="397"/>
      <c r="J35" s="397"/>
      <c r="K35" s="397"/>
      <c r="L35" s="397"/>
      <c r="M35" s="219"/>
      <c r="N35" s="337"/>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row>
    <row r="36" spans="1:43" ht="45" customHeight="1" x14ac:dyDescent="0.25">
      <c r="A36" s="218"/>
      <c r="B36" s="218"/>
      <c r="C36" s="218"/>
      <c r="D36" s="218"/>
      <c r="E36" s="218"/>
      <c r="F36" s="218"/>
      <c r="G36" s="218"/>
      <c r="H36" s="218"/>
      <c r="I36" s="218"/>
      <c r="J36" s="218"/>
      <c r="K36" s="218"/>
      <c r="L36" s="220"/>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row>
    <row r="37" spans="1:43" ht="45" customHeight="1" x14ac:dyDescent="0.25">
      <c r="A37" s="218"/>
      <c r="B37" s="218"/>
      <c r="C37" s="218"/>
      <c r="D37" s="218"/>
      <c r="E37" s="218"/>
      <c r="F37" s="218"/>
      <c r="G37" s="218"/>
      <c r="H37" s="218"/>
      <c r="I37" s="218"/>
      <c r="J37" s="218"/>
      <c r="K37" s="218"/>
      <c r="L37" s="220"/>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row>
    <row r="38" spans="1:43" ht="45" customHeight="1" x14ac:dyDescent="0.25">
      <c r="A38" s="218"/>
      <c r="B38" s="218"/>
      <c r="C38" s="218"/>
      <c r="D38" s="218"/>
      <c r="E38" s="218"/>
      <c r="F38" s="218"/>
      <c r="G38" s="218"/>
      <c r="H38" s="218"/>
      <c r="I38" s="218"/>
      <c r="J38" s="218"/>
      <c r="K38" s="218"/>
      <c r="L38" s="220"/>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row>
    <row r="39" spans="1:43" ht="45" customHeight="1" x14ac:dyDescent="0.25">
      <c r="A39" s="218"/>
      <c r="B39" s="218"/>
      <c r="C39" s="218"/>
      <c r="D39" s="218"/>
      <c r="E39" s="218"/>
      <c r="F39" s="218"/>
      <c r="G39" s="218"/>
      <c r="H39" s="218"/>
      <c r="I39" s="218"/>
      <c r="J39" s="218"/>
      <c r="K39" s="218"/>
      <c r="L39" s="220"/>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row>
    <row r="40" spans="1:43" ht="45" customHeight="1" x14ac:dyDescent="0.25">
      <c r="A40" s="218"/>
      <c r="B40" s="218"/>
      <c r="C40" s="218"/>
      <c r="D40" s="218"/>
      <c r="E40" s="218"/>
      <c r="F40" s="218"/>
      <c r="G40" s="218"/>
      <c r="H40" s="218"/>
      <c r="I40" s="218"/>
      <c r="J40" s="218"/>
      <c r="K40" s="218"/>
      <c r="L40" s="220"/>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row>
    <row r="41" spans="1:43" ht="45" customHeight="1" x14ac:dyDescent="0.25">
      <c r="A41" s="218"/>
      <c r="B41" s="218"/>
      <c r="C41" s="218"/>
      <c r="D41" s="218"/>
      <c r="E41" s="218"/>
      <c r="F41" s="218"/>
      <c r="G41" s="218"/>
      <c r="H41" s="218"/>
      <c r="I41" s="218"/>
      <c r="J41" s="218"/>
      <c r="K41" s="218"/>
      <c r="L41" s="220"/>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row>
    <row r="42" spans="1:43" ht="45" customHeight="1" x14ac:dyDescent="0.25">
      <c r="A42" s="218"/>
      <c r="B42" s="218"/>
      <c r="C42" s="218"/>
      <c r="D42" s="218"/>
      <c r="E42" s="218"/>
      <c r="F42" s="218"/>
      <c r="G42" s="218"/>
      <c r="H42" s="218"/>
      <c r="I42" s="218"/>
      <c r="J42" s="218"/>
      <c r="K42" s="218"/>
      <c r="L42" s="220"/>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row>
    <row r="43" spans="1:43" ht="45" customHeight="1" x14ac:dyDescent="0.25">
      <c r="A43" s="218"/>
      <c r="B43" s="218"/>
      <c r="C43" s="218"/>
      <c r="D43" s="218"/>
      <c r="E43" s="218"/>
      <c r="F43" s="218"/>
      <c r="G43" s="218"/>
      <c r="H43" s="218"/>
      <c r="I43" s="218"/>
      <c r="J43" s="218"/>
      <c r="K43" s="218"/>
      <c r="L43" s="220"/>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row>
    <row r="44" spans="1:43" ht="45" customHeight="1" x14ac:dyDescent="0.25">
      <c r="A44" s="218"/>
      <c r="B44" s="218"/>
      <c r="C44" s="218"/>
      <c r="D44" s="218"/>
      <c r="E44" s="218"/>
      <c r="F44" s="218"/>
      <c r="G44" s="218"/>
      <c r="H44" s="218"/>
      <c r="I44" s="218"/>
      <c r="J44" s="218"/>
      <c r="K44" s="218"/>
      <c r="L44" s="220"/>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row>
    <row r="45" spans="1:43" ht="45" customHeight="1" x14ac:dyDescent="0.25">
      <c r="A45" s="218"/>
      <c r="B45" s="218"/>
      <c r="C45" s="218"/>
      <c r="D45" s="218"/>
      <c r="E45" s="218"/>
      <c r="F45" s="218"/>
      <c r="G45" s="218"/>
      <c r="H45" s="218"/>
      <c r="I45" s="218"/>
      <c r="J45" s="218"/>
      <c r="K45" s="218"/>
      <c r="L45" s="220"/>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row>
    <row r="46" spans="1:43" ht="45" customHeight="1" x14ac:dyDescent="0.25">
      <c r="A46" s="218"/>
      <c r="B46" s="218"/>
      <c r="C46" s="218"/>
      <c r="D46" s="218"/>
      <c r="E46" s="218"/>
      <c r="F46" s="218"/>
      <c r="G46" s="218"/>
      <c r="H46" s="218"/>
      <c r="I46" s="218"/>
      <c r="J46" s="218"/>
      <c r="K46" s="218"/>
      <c r="L46" s="220"/>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row>
    <row r="47" spans="1:43" ht="45" customHeight="1" x14ac:dyDescent="0.25">
      <c r="A47" s="218"/>
      <c r="B47" s="218"/>
      <c r="C47" s="218"/>
      <c r="D47" s="218"/>
      <c r="E47" s="218"/>
      <c r="F47" s="218"/>
      <c r="G47" s="218"/>
      <c r="H47" s="218"/>
      <c r="I47" s="218"/>
      <c r="J47" s="218"/>
      <c r="K47" s="218"/>
      <c r="L47" s="220"/>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row>
    <row r="48" spans="1:43" ht="45" customHeight="1" x14ac:dyDescent="0.25">
      <c r="A48" s="218"/>
      <c r="B48" s="218"/>
      <c r="C48" s="218"/>
      <c r="D48" s="218"/>
      <c r="E48" s="218"/>
      <c r="F48" s="218"/>
      <c r="G48" s="218"/>
      <c r="H48" s="218"/>
      <c r="I48" s="218"/>
      <c r="J48" s="218"/>
      <c r="K48" s="218"/>
      <c r="L48" s="220"/>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row>
    <row r="49" spans="1:43" ht="45" customHeight="1" x14ac:dyDescent="0.25">
      <c r="A49" s="218"/>
      <c r="B49" s="218"/>
      <c r="C49" s="218"/>
      <c r="D49" s="218"/>
      <c r="E49" s="218"/>
      <c r="F49" s="218"/>
      <c r="G49" s="218"/>
      <c r="H49" s="218"/>
      <c r="I49" s="218"/>
      <c r="J49" s="218"/>
      <c r="K49" s="218"/>
      <c r="L49" s="220"/>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row>
    <row r="50" spans="1:43" ht="45" customHeight="1" x14ac:dyDescent="0.25">
      <c r="A50" s="218"/>
      <c r="B50" s="218"/>
      <c r="C50" s="218"/>
      <c r="D50" s="218"/>
      <c r="E50" s="218"/>
      <c r="F50" s="218"/>
      <c r="G50" s="218"/>
      <c r="H50" s="218"/>
      <c r="I50" s="218"/>
      <c r="J50" s="218"/>
      <c r="K50" s="218"/>
      <c r="L50" s="220"/>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row>
    <row r="51" spans="1:43" ht="45" customHeight="1" x14ac:dyDescent="0.25">
      <c r="A51" s="218"/>
      <c r="B51" s="218"/>
      <c r="C51" s="218"/>
      <c r="D51" s="218"/>
      <c r="E51" s="218"/>
      <c r="F51" s="218"/>
      <c r="G51" s="218"/>
      <c r="H51" s="218"/>
      <c r="I51" s="218"/>
      <c r="J51" s="218"/>
      <c r="K51" s="218"/>
      <c r="L51" s="220"/>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row>
    <row r="52" spans="1:43" ht="45" customHeight="1" x14ac:dyDescent="0.25">
      <c r="A52" s="218"/>
      <c r="B52" s="218"/>
      <c r="C52" s="218"/>
      <c r="D52" s="218"/>
      <c r="E52" s="218"/>
      <c r="F52" s="218"/>
      <c r="G52" s="218"/>
      <c r="H52" s="218"/>
      <c r="I52" s="218"/>
      <c r="J52" s="218"/>
      <c r="K52" s="218"/>
      <c r="L52" s="220"/>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row>
    <row r="53" spans="1:43" ht="45" customHeight="1" x14ac:dyDescent="0.25">
      <c r="A53" s="218"/>
      <c r="B53" s="218"/>
      <c r="C53" s="218"/>
      <c r="D53" s="218"/>
      <c r="E53" s="218"/>
      <c r="F53" s="218"/>
      <c r="G53" s="218"/>
      <c r="H53" s="218"/>
      <c r="I53" s="218"/>
      <c r="J53" s="218"/>
      <c r="K53" s="218"/>
      <c r="L53" s="220"/>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row>
    <row r="54" spans="1:43" ht="45" customHeight="1" x14ac:dyDescent="0.25">
      <c r="A54" s="218"/>
      <c r="B54" s="218"/>
      <c r="C54" s="218"/>
      <c r="D54" s="218"/>
      <c r="E54" s="218"/>
      <c r="F54" s="218"/>
      <c r="G54" s="218"/>
      <c r="H54" s="218"/>
      <c r="I54" s="218"/>
      <c r="J54" s="218"/>
      <c r="K54" s="218"/>
      <c r="L54" s="220"/>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row>
    <row r="55" spans="1:43" ht="45" customHeight="1" x14ac:dyDescent="0.25">
      <c r="A55" s="218"/>
      <c r="B55" s="218"/>
      <c r="C55" s="218"/>
      <c r="D55" s="218"/>
      <c r="E55" s="218"/>
      <c r="F55" s="218"/>
      <c r="G55" s="218"/>
      <c r="H55" s="218"/>
      <c r="I55" s="218"/>
      <c r="J55" s="218"/>
      <c r="K55" s="218"/>
      <c r="L55" s="220"/>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row>
    <row r="56" spans="1:43" ht="45" customHeight="1" x14ac:dyDescent="0.25">
      <c r="A56" s="218"/>
      <c r="B56" s="218"/>
      <c r="C56" s="218"/>
      <c r="D56" s="218"/>
      <c r="E56" s="218"/>
      <c r="F56" s="218"/>
      <c r="G56" s="218"/>
      <c r="H56" s="218"/>
      <c r="I56" s="218"/>
      <c r="J56" s="218"/>
      <c r="K56" s="218"/>
      <c r="L56" s="220"/>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row>
    <row r="57" spans="1:43" ht="45" customHeight="1" x14ac:dyDescent="0.25">
      <c r="A57" s="218"/>
      <c r="B57" s="218"/>
      <c r="C57" s="218"/>
      <c r="D57" s="218"/>
      <c r="E57" s="218"/>
      <c r="F57" s="218"/>
      <c r="G57" s="218"/>
      <c r="H57" s="218"/>
      <c r="I57" s="218"/>
      <c r="J57" s="218"/>
      <c r="K57" s="218"/>
      <c r="L57" s="220"/>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row>
    <row r="58" spans="1:43" ht="45" customHeight="1" x14ac:dyDescent="0.25">
      <c r="A58" s="218"/>
      <c r="B58" s="218"/>
      <c r="C58" s="218"/>
      <c r="D58" s="218"/>
      <c r="E58" s="218"/>
      <c r="F58" s="218"/>
      <c r="G58" s="218"/>
      <c r="H58" s="218"/>
      <c r="I58" s="218"/>
      <c r="J58" s="218"/>
      <c r="K58" s="218"/>
      <c r="L58" s="220"/>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row>
    <row r="59" spans="1:43" ht="45" customHeight="1" x14ac:dyDescent="0.25">
      <c r="A59" s="218"/>
      <c r="B59" s="218"/>
      <c r="C59" s="218"/>
      <c r="D59" s="218"/>
      <c r="E59" s="218"/>
      <c r="F59" s="218"/>
      <c r="G59" s="218"/>
      <c r="H59" s="218"/>
      <c r="I59" s="218"/>
      <c r="J59" s="218"/>
      <c r="K59" s="218"/>
      <c r="L59" s="220"/>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row>
    <row r="60" spans="1:43" ht="45" customHeight="1" x14ac:dyDescent="0.25">
      <c r="A60" s="218"/>
      <c r="B60" s="218"/>
      <c r="C60" s="218"/>
      <c r="D60" s="218"/>
      <c r="E60" s="218"/>
      <c r="F60" s="218"/>
      <c r="G60" s="218"/>
      <c r="H60" s="218"/>
      <c r="I60" s="218"/>
      <c r="J60" s="218"/>
      <c r="K60" s="218"/>
      <c r="L60" s="220"/>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row>
    <row r="61" spans="1:43" ht="45" customHeight="1" x14ac:dyDescent="0.25">
      <c r="A61" s="218"/>
      <c r="B61" s="218"/>
      <c r="C61" s="218"/>
      <c r="D61" s="218"/>
      <c r="E61" s="218"/>
      <c r="F61" s="218"/>
      <c r="G61" s="218"/>
      <c r="H61" s="218"/>
      <c r="I61" s="218"/>
      <c r="J61" s="218"/>
      <c r="K61" s="218"/>
      <c r="L61" s="220"/>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row>
    <row r="62" spans="1:43" ht="45" customHeight="1" x14ac:dyDescent="0.25">
      <c r="A62" s="218"/>
      <c r="B62" s="218"/>
      <c r="C62" s="218"/>
      <c r="D62" s="218"/>
      <c r="E62" s="218"/>
      <c r="F62" s="218"/>
      <c r="G62" s="218"/>
      <c r="H62" s="218"/>
      <c r="I62" s="218"/>
      <c r="J62" s="218"/>
      <c r="K62" s="218"/>
      <c r="L62" s="220"/>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row>
    <row r="63" spans="1:43" ht="45" customHeight="1" x14ac:dyDescent="0.25">
      <c r="A63" s="218"/>
      <c r="B63" s="218"/>
      <c r="C63" s="218"/>
      <c r="D63" s="218"/>
      <c r="E63" s="218"/>
      <c r="F63" s="218"/>
      <c r="G63" s="218"/>
      <c r="H63" s="218"/>
      <c r="I63" s="218"/>
      <c r="J63" s="218"/>
      <c r="K63" s="218"/>
      <c r="L63" s="220"/>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row>
    <row r="64" spans="1:43" ht="45" customHeight="1" x14ac:dyDescent="0.25">
      <c r="A64" s="218"/>
      <c r="B64" s="218"/>
      <c r="C64" s="218"/>
      <c r="D64" s="218"/>
      <c r="E64" s="218"/>
      <c r="F64" s="218"/>
      <c r="G64" s="218"/>
      <c r="H64" s="218"/>
      <c r="I64" s="218"/>
      <c r="J64" s="218"/>
      <c r="K64" s="218"/>
      <c r="L64" s="220"/>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row>
    <row r="65" spans="1:43" ht="45" customHeight="1" x14ac:dyDescent="0.25">
      <c r="A65" s="218"/>
      <c r="B65" s="218"/>
      <c r="C65" s="218"/>
      <c r="D65" s="218"/>
      <c r="E65" s="218"/>
      <c r="F65" s="218"/>
      <c r="G65" s="218"/>
      <c r="H65" s="218"/>
      <c r="I65" s="218"/>
      <c r="J65" s="218"/>
      <c r="K65" s="218"/>
      <c r="L65" s="220"/>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row>
    <row r="66" spans="1:43" ht="45" customHeight="1" x14ac:dyDescent="0.25">
      <c r="A66" s="218"/>
      <c r="B66" s="218"/>
      <c r="C66" s="218"/>
      <c r="D66" s="218"/>
      <c r="E66" s="218"/>
      <c r="F66" s="218"/>
      <c r="G66" s="218"/>
      <c r="H66" s="218"/>
      <c r="I66" s="218"/>
      <c r="J66" s="218"/>
      <c r="K66" s="218"/>
      <c r="L66" s="220"/>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row>
    <row r="67" spans="1:43" ht="45" customHeight="1" x14ac:dyDescent="0.25">
      <c r="A67" s="218"/>
      <c r="B67" s="218"/>
      <c r="C67" s="218"/>
      <c r="D67" s="218"/>
      <c r="E67" s="218"/>
      <c r="F67" s="218"/>
      <c r="G67" s="218"/>
      <c r="H67" s="218"/>
      <c r="I67" s="218"/>
      <c r="J67" s="218"/>
      <c r="K67" s="218"/>
      <c r="L67" s="220"/>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row>
    <row r="68" spans="1:43" ht="45" customHeight="1" x14ac:dyDescent="0.25">
      <c r="A68" s="218"/>
      <c r="B68" s="218"/>
      <c r="C68" s="218"/>
      <c r="D68" s="218"/>
      <c r="E68" s="218"/>
      <c r="F68" s="218"/>
      <c r="G68" s="218"/>
      <c r="H68" s="218"/>
      <c r="I68" s="218"/>
      <c r="J68" s="218"/>
      <c r="K68" s="218"/>
      <c r="L68" s="220"/>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row>
    <row r="69" spans="1:43" ht="45" customHeight="1" x14ac:dyDescent="0.25">
      <c r="A69" s="218"/>
      <c r="B69" s="218"/>
      <c r="C69" s="218"/>
      <c r="D69" s="218"/>
      <c r="E69" s="218"/>
      <c r="F69" s="218"/>
      <c r="G69" s="218"/>
      <c r="H69" s="218"/>
      <c r="I69" s="218"/>
      <c r="J69" s="218"/>
      <c r="K69" s="218"/>
      <c r="L69" s="220"/>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row>
    <row r="70" spans="1:43" ht="45" customHeight="1" x14ac:dyDescent="0.25"/>
    <row r="71" spans="1:43" ht="45" customHeight="1" x14ac:dyDescent="0.25"/>
    <row r="72" spans="1:43" ht="45" customHeight="1" x14ac:dyDescent="0.25"/>
    <row r="73" spans="1:43" ht="45" customHeight="1" x14ac:dyDescent="0.25"/>
    <row r="74" spans="1:43" ht="45" customHeight="1" x14ac:dyDescent="0.25"/>
    <row r="75" spans="1:43" ht="45" customHeight="1" x14ac:dyDescent="0.25"/>
    <row r="76" spans="1:43" ht="45" customHeight="1" x14ac:dyDescent="0.25"/>
    <row r="77" spans="1:43" ht="45" customHeight="1" x14ac:dyDescent="0.25"/>
    <row r="78" spans="1:43" ht="45" customHeight="1" x14ac:dyDescent="0.25"/>
    <row r="79" spans="1:43" ht="45" customHeight="1" x14ac:dyDescent="0.25"/>
    <row r="80" spans="1:43" ht="45" customHeight="1" x14ac:dyDescent="0.25"/>
    <row r="81" ht="45" customHeight="1" x14ac:dyDescent="0.25"/>
    <row r="82" ht="45" customHeight="1" x14ac:dyDescent="0.25"/>
    <row r="83" ht="45" customHeight="1" x14ac:dyDescent="0.25"/>
    <row r="84" ht="45" customHeight="1" x14ac:dyDescent="0.25"/>
  </sheetData>
  <mergeCells count="17">
    <mergeCell ref="N7:N8"/>
    <mergeCell ref="N9:N10"/>
    <mergeCell ref="N11:N13"/>
    <mergeCell ref="N17:N18"/>
    <mergeCell ref="N19:N21"/>
    <mergeCell ref="B2:L2"/>
    <mergeCell ref="B3:L3"/>
    <mergeCell ref="H5:L5"/>
    <mergeCell ref="B18:L20"/>
    <mergeCell ref="B22:C22"/>
    <mergeCell ref="B6:L9"/>
    <mergeCell ref="B24:L25"/>
    <mergeCell ref="B35:L35"/>
    <mergeCell ref="B15:L16"/>
    <mergeCell ref="C11:L11"/>
    <mergeCell ref="C12:L12"/>
    <mergeCell ref="C13:L13"/>
  </mergeCells>
  <phoneticPr fontId="6" type="noConversion"/>
  <conditionalFormatting sqref="N11:N13">
    <cfRule type="expression" dxfId="1" priority="1" stopIfTrue="1">
      <formula>IF($AY$1=1,TRUE,FALSE)</formula>
    </cfRule>
  </conditionalFormatting>
  <hyperlinks>
    <hyperlink ref="N11:N12" location="Pacht!A1" display="Zu-/Verpachtung bzw. Zu-/Verkauf"/>
    <hyperlink ref="N7:N8" location="'Internetfenster 1'!A1" display="Ausgangsbetrieb à"/>
    <hyperlink ref="N9:N10" location="'Internetfenster 2'!F6" display="Vergleichsbetrieb à"/>
    <hyperlink ref="N17" location="'Beiträge aus EHW'!I5" display="Beiträge aus dem Einheitswert à"/>
    <hyperlink ref="N19" location="Angehörige!I5" display="Angehörige!I5"/>
  </hyperlinks>
  <printOptions horizontalCentered="1"/>
  <pageMargins left="0.59055118110236227" right="0.59055118110236227" top="0.59055118110236227" bottom="0.59055118110236227" header="0.51181102362204722" footer="0.51181102362204722"/>
  <pageSetup paperSize="9" scale="81" orientation="landscape" r:id="rId1"/>
  <headerFooter alignWithMargins="0">
    <oddFooter>&amp;L&amp;8SVB-Beitragsberechnungsprogramm&amp;C&amp;8Bitte beachten: Die ermittelten Ergebnisse dienen lediglich der Information und sind unverbindlich!&amp;R&amp;8&amp;D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R86"/>
  <sheetViews>
    <sheetView showGridLines="0" topLeftCell="A7" zoomScale="95" zoomScaleNormal="95" workbookViewId="0">
      <selection activeCell="H5" sqref="H5:L5"/>
    </sheetView>
  </sheetViews>
  <sheetFormatPr baseColWidth="10" defaultColWidth="11" defaultRowHeight="13.8" x14ac:dyDescent="0.25"/>
  <cols>
    <col min="1" max="1" width="11" style="134"/>
    <col min="2" max="2" width="2.59765625" style="134" customWidth="1"/>
    <col min="3" max="3" width="17.59765625" style="134" customWidth="1"/>
    <col min="4" max="4" width="21.59765625" style="134" customWidth="1"/>
    <col min="5" max="5" width="13.59765625" style="134" customWidth="1"/>
    <col min="6" max="7" width="2.59765625" style="134" customWidth="1"/>
    <col min="8" max="8" width="4.8984375" style="134" customWidth="1"/>
    <col min="9" max="9" width="4.09765625" style="134" customWidth="1"/>
    <col min="10" max="10" width="24.69921875" style="134" customWidth="1"/>
    <col min="11" max="11" width="13.8984375" style="134" customWidth="1"/>
    <col min="12" max="12" width="27.5" style="135" customWidth="1"/>
    <col min="13" max="13" width="4.09765625" style="134" customWidth="1"/>
    <col min="14" max="14" width="30.59765625" style="134" customWidth="1"/>
    <col min="15" max="15" width="4.09765625" style="134" customWidth="1"/>
    <col min="16" max="17" width="11" style="134"/>
    <col min="18" max="20" width="13.69921875" style="134" customWidth="1"/>
    <col min="21" max="16384" width="11" style="134"/>
  </cols>
  <sheetData>
    <row r="1" spans="1:44" x14ac:dyDescent="0.25">
      <c r="A1" s="228"/>
      <c r="B1" s="228"/>
      <c r="C1" s="228"/>
      <c r="D1" s="228"/>
      <c r="E1" s="228"/>
      <c r="F1" s="228"/>
      <c r="G1" s="228"/>
      <c r="H1" s="228"/>
      <c r="I1" s="228"/>
      <c r="J1" s="228"/>
      <c r="K1" s="228"/>
      <c r="L1" s="242"/>
      <c r="M1" s="228"/>
      <c r="N1" s="228"/>
      <c r="O1" s="228"/>
      <c r="P1" s="228"/>
      <c r="Q1" s="213"/>
      <c r="R1" s="213"/>
      <c r="S1" s="213"/>
      <c r="T1" s="213"/>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row>
    <row r="2" spans="1:44" s="136" customFormat="1" ht="21" x14ac:dyDescent="0.25">
      <c r="A2" s="229"/>
      <c r="B2" s="359" t="s">
        <v>231</v>
      </c>
      <c r="C2" s="359"/>
      <c r="D2" s="359"/>
      <c r="E2" s="359"/>
      <c r="F2" s="359"/>
      <c r="G2" s="359"/>
      <c r="H2" s="359"/>
      <c r="I2" s="359"/>
      <c r="J2" s="359"/>
      <c r="K2" s="359"/>
      <c r="L2" s="359"/>
      <c r="M2" s="229"/>
      <c r="N2" s="229"/>
      <c r="O2" s="229"/>
      <c r="P2" s="229"/>
      <c r="Q2" s="215"/>
      <c r="R2" s="215"/>
      <c r="S2" s="215"/>
      <c r="T2" s="215"/>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row>
    <row r="3" spans="1:44" s="136" customFormat="1" ht="21" x14ac:dyDescent="0.25">
      <c r="A3" s="229"/>
      <c r="B3" s="359" t="s">
        <v>131</v>
      </c>
      <c r="C3" s="359"/>
      <c r="D3" s="359"/>
      <c r="E3" s="359"/>
      <c r="F3" s="359"/>
      <c r="G3" s="359"/>
      <c r="H3" s="359"/>
      <c r="I3" s="359"/>
      <c r="J3" s="359"/>
      <c r="K3" s="359"/>
      <c r="L3" s="359"/>
      <c r="M3" s="229"/>
      <c r="N3" s="229"/>
      <c r="O3" s="229"/>
      <c r="P3" s="229"/>
      <c r="Q3" s="215"/>
      <c r="R3" s="215"/>
      <c r="S3" s="215"/>
      <c r="T3" s="215"/>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row>
    <row r="4" spans="1:44" s="136" customFormat="1" ht="6" customHeight="1" x14ac:dyDescent="0.25">
      <c r="A4" s="229"/>
      <c r="B4" s="229"/>
      <c r="C4" s="229"/>
      <c r="D4" s="229"/>
      <c r="E4" s="229"/>
      <c r="F4" s="229"/>
      <c r="G4" s="229"/>
      <c r="H4" s="229"/>
      <c r="I4" s="229"/>
      <c r="J4" s="229"/>
      <c r="K4" s="229"/>
      <c r="L4" s="229"/>
      <c r="M4" s="229"/>
      <c r="N4" s="229"/>
      <c r="O4" s="229"/>
      <c r="P4" s="229"/>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row>
    <row r="5" spans="1:44" s="136" customFormat="1" ht="21" x14ac:dyDescent="0.25">
      <c r="A5" s="229"/>
      <c r="B5" s="229"/>
      <c r="C5" s="229"/>
      <c r="D5" s="229"/>
      <c r="E5" s="229"/>
      <c r="F5" s="229"/>
      <c r="G5" s="229"/>
      <c r="H5" s="422" t="s">
        <v>3</v>
      </c>
      <c r="I5" s="422"/>
      <c r="J5" s="422"/>
      <c r="K5" s="422"/>
      <c r="L5" s="422"/>
      <c r="M5" s="229"/>
      <c r="N5" s="332" t="s">
        <v>261</v>
      </c>
      <c r="O5" s="229"/>
      <c r="P5" s="229"/>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row>
    <row r="6" spans="1:44" s="137" customFormat="1" ht="18" customHeight="1" x14ac:dyDescent="0.25">
      <c r="A6" s="217"/>
      <c r="B6" s="433" t="s">
        <v>25</v>
      </c>
      <c r="C6" s="433"/>
      <c r="D6" s="433"/>
      <c r="E6" s="433"/>
      <c r="F6" s="433"/>
      <c r="G6" s="433"/>
      <c r="H6" s="433"/>
      <c r="I6" s="433"/>
      <c r="J6" s="433"/>
      <c r="K6" s="433"/>
      <c r="L6" s="433"/>
      <c r="M6" s="217"/>
      <c r="N6" s="326" t="s">
        <v>247</v>
      </c>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row>
    <row r="7" spans="1:44" s="137" customFormat="1" ht="14.25" customHeight="1" x14ac:dyDescent="0.25">
      <c r="A7" s="217"/>
      <c r="B7" s="433"/>
      <c r="C7" s="433"/>
      <c r="D7" s="433"/>
      <c r="E7" s="433"/>
      <c r="F7" s="433"/>
      <c r="G7" s="433"/>
      <c r="H7" s="433"/>
      <c r="I7" s="433"/>
      <c r="J7" s="433"/>
      <c r="K7" s="433"/>
      <c r="L7" s="433"/>
      <c r="M7" s="217"/>
      <c r="N7" s="352" t="s">
        <v>296</v>
      </c>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row>
    <row r="8" spans="1:44" s="137" customFormat="1" ht="14.25" customHeight="1" x14ac:dyDescent="0.25">
      <c r="A8" s="217"/>
      <c r="B8" s="172"/>
      <c r="C8" s="172"/>
      <c r="D8" s="172"/>
      <c r="E8" s="172"/>
      <c r="F8" s="172"/>
      <c r="G8" s="172"/>
      <c r="H8" s="172"/>
      <c r="I8" s="172"/>
      <c r="J8" s="172"/>
      <c r="K8" s="172"/>
      <c r="L8" s="172"/>
      <c r="M8" s="217"/>
      <c r="N8" s="352"/>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row>
    <row r="9" spans="1:44" s="137" customFormat="1" ht="14.25" customHeight="1" x14ac:dyDescent="0.25">
      <c r="A9" s="217"/>
      <c r="B9" s="157" t="s">
        <v>151</v>
      </c>
      <c r="C9" s="386" t="s">
        <v>4</v>
      </c>
      <c r="D9" s="386"/>
      <c r="E9" s="147"/>
      <c r="F9" s="176"/>
      <c r="G9" s="147"/>
      <c r="H9" s="403" t="s">
        <v>26</v>
      </c>
      <c r="I9" s="403"/>
      <c r="J9" s="403"/>
      <c r="K9" s="403"/>
      <c r="L9" s="403"/>
      <c r="M9" s="217"/>
      <c r="N9" s="352" t="s">
        <v>297</v>
      </c>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row>
    <row r="10" spans="1:44" s="137" customFormat="1" ht="14.25" customHeight="1" x14ac:dyDescent="0.25">
      <c r="A10" s="217"/>
      <c r="B10" s="147"/>
      <c r="C10" s="147"/>
      <c r="D10" s="147"/>
      <c r="E10" s="147"/>
      <c r="F10" s="146"/>
      <c r="G10" s="434" t="s">
        <v>6</v>
      </c>
      <c r="H10" s="403"/>
      <c r="I10" s="403"/>
      <c r="J10" s="403"/>
      <c r="K10" s="403"/>
      <c r="L10" s="403"/>
      <c r="M10" s="217"/>
      <c r="N10" s="352"/>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row>
    <row r="11" spans="1:44" s="137" customFormat="1" ht="14.25" customHeight="1" x14ac:dyDescent="0.25">
      <c r="A11" s="217"/>
      <c r="B11" s="157" t="s">
        <v>151</v>
      </c>
      <c r="C11" s="386" t="s">
        <v>5</v>
      </c>
      <c r="D11" s="386"/>
      <c r="E11" s="386"/>
      <c r="F11" s="149"/>
      <c r="G11" s="435"/>
      <c r="H11" s="403"/>
      <c r="I11" s="403"/>
      <c r="J11" s="403"/>
      <c r="K11" s="403"/>
      <c r="L11" s="403"/>
      <c r="M11" s="217"/>
      <c r="N11" s="355" t="s">
        <v>287</v>
      </c>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row>
    <row r="12" spans="1:44" s="137" customFormat="1" ht="14.25" customHeight="1" x14ac:dyDescent="0.25">
      <c r="A12" s="217"/>
      <c r="B12" s="157"/>
      <c r="C12" s="386"/>
      <c r="D12" s="386"/>
      <c r="E12" s="386"/>
      <c r="F12" s="177"/>
      <c r="G12" s="138"/>
      <c r="H12" s="403"/>
      <c r="I12" s="403"/>
      <c r="J12" s="403"/>
      <c r="K12" s="403"/>
      <c r="L12" s="403"/>
      <c r="M12" s="217"/>
      <c r="N12" s="352"/>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row>
    <row r="13" spans="1:44" s="137" customFormat="1" ht="14.25" customHeight="1" x14ac:dyDescent="0.25">
      <c r="A13" s="217"/>
      <c r="B13" s="138"/>
      <c r="C13" s="138"/>
      <c r="D13" s="138"/>
      <c r="E13" s="138"/>
      <c r="F13" s="138"/>
      <c r="G13" s="138"/>
      <c r="H13" s="138"/>
      <c r="I13" s="138"/>
      <c r="J13" s="138"/>
      <c r="K13" s="138"/>
      <c r="L13" s="138"/>
      <c r="M13" s="217"/>
      <c r="N13" s="352"/>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row>
    <row r="14" spans="1:44" s="137" customFormat="1" ht="14.25" customHeight="1" x14ac:dyDescent="0.25">
      <c r="A14" s="217"/>
      <c r="B14" s="157" t="s">
        <v>151</v>
      </c>
      <c r="C14" s="384" t="s">
        <v>23</v>
      </c>
      <c r="D14" s="384"/>
      <c r="E14" s="384"/>
      <c r="F14" s="436" t="s">
        <v>6</v>
      </c>
      <c r="G14" s="437"/>
      <c r="H14" s="384" t="s">
        <v>27</v>
      </c>
      <c r="I14" s="384"/>
      <c r="J14" s="384"/>
      <c r="K14" s="384"/>
      <c r="L14" s="384"/>
      <c r="M14" s="217"/>
      <c r="N14" s="217"/>
      <c r="O14" s="217"/>
      <c r="P14" s="432" t="s">
        <v>240</v>
      </c>
      <c r="Q14" s="432"/>
      <c r="R14" s="432"/>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row>
    <row r="15" spans="1:44" s="137" customFormat="1" ht="14.25" customHeight="1" x14ac:dyDescent="0.25">
      <c r="A15" s="217"/>
      <c r="B15" s="138"/>
      <c r="C15" s="384"/>
      <c r="D15" s="384"/>
      <c r="E15" s="384"/>
      <c r="F15" s="138"/>
      <c r="G15" s="138"/>
      <c r="H15" s="384"/>
      <c r="I15" s="384"/>
      <c r="J15" s="384"/>
      <c r="K15" s="384"/>
      <c r="L15" s="384"/>
      <c r="M15" s="217"/>
      <c r="N15" s="243" t="s">
        <v>311</v>
      </c>
      <c r="O15" s="217"/>
      <c r="P15" s="432"/>
      <c r="Q15" s="432"/>
      <c r="R15" s="432"/>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row>
    <row r="16" spans="1:44" s="137" customFormat="1" ht="14.25" customHeight="1" x14ac:dyDescent="0.25">
      <c r="A16" s="217"/>
      <c r="B16" s="138"/>
      <c r="C16" s="138"/>
      <c r="D16" s="138"/>
      <c r="E16" s="138"/>
      <c r="F16" s="138"/>
      <c r="G16" s="138"/>
      <c r="H16" s="384"/>
      <c r="I16" s="384"/>
      <c r="J16" s="384"/>
      <c r="K16" s="384"/>
      <c r="L16" s="384"/>
      <c r="M16" s="217"/>
      <c r="N16" s="243" t="s">
        <v>310</v>
      </c>
      <c r="O16" s="217"/>
      <c r="P16" s="432"/>
      <c r="Q16" s="432"/>
      <c r="R16" s="432"/>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row>
    <row r="17" spans="1:44" s="137" customFormat="1" ht="14.25" customHeight="1" x14ac:dyDescent="0.25">
      <c r="A17" s="217"/>
      <c r="B17" s="157"/>
      <c r="C17" s="384"/>
      <c r="D17" s="384"/>
      <c r="E17" s="384"/>
      <c r="F17" s="138"/>
      <c r="G17" s="138"/>
      <c r="H17" s="384"/>
      <c r="I17" s="384"/>
      <c r="J17" s="384"/>
      <c r="K17" s="384"/>
      <c r="L17" s="384"/>
      <c r="M17" s="217"/>
      <c r="N17" s="352" t="s">
        <v>256</v>
      </c>
      <c r="O17" s="217"/>
      <c r="P17" s="432"/>
      <c r="Q17" s="432"/>
      <c r="R17" s="432"/>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row>
    <row r="18" spans="1:44" s="137" customFormat="1" ht="14.25" customHeight="1" x14ac:dyDescent="0.25">
      <c r="A18" s="217"/>
      <c r="B18" s="150"/>
      <c r="C18" s="150"/>
      <c r="D18" s="150"/>
      <c r="E18" s="151"/>
      <c r="F18" s="151"/>
      <c r="G18" s="151"/>
      <c r="H18" s="138"/>
      <c r="I18" s="138"/>
      <c r="J18" s="138"/>
      <c r="K18" s="138"/>
      <c r="L18" s="138"/>
      <c r="M18" s="217"/>
      <c r="N18" s="352"/>
      <c r="O18" s="217"/>
      <c r="P18" s="432"/>
      <c r="Q18" s="432"/>
      <c r="R18" s="432"/>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row>
    <row r="19" spans="1:44" s="137" customFormat="1" ht="14.25" customHeight="1" x14ac:dyDescent="0.25">
      <c r="A19" s="217"/>
      <c r="B19" s="157" t="s">
        <v>151</v>
      </c>
      <c r="C19" s="384" t="s">
        <v>24</v>
      </c>
      <c r="D19" s="384"/>
      <c r="E19" s="384"/>
      <c r="F19" s="436" t="s">
        <v>6</v>
      </c>
      <c r="G19" s="437"/>
      <c r="H19" s="400" t="s">
        <v>7</v>
      </c>
      <c r="I19" s="400"/>
      <c r="J19" s="400"/>
      <c r="K19" s="400"/>
      <c r="L19" s="400"/>
      <c r="M19" s="217"/>
      <c r="N19" s="352" t="s">
        <v>315</v>
      </c>
      <c r="O19" s="217"/>
      <c r="P19" s="432"/>
      <c r="Q19" s="432"/>
      <c r="R19" s="432"/>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row>
    <row r="20" spans="1:44" s="137" customFormat="1" ht="14.25" customHeight="1" x14ac:dyDescent="0.25">
      <c r="A20" s="217"/>
      <c r="B20" s="155"/>
      <c r="C20" s="384"/>
      <c r="D20" s="384"/>
      <c r="E20" s="384"/>
      <c r="F20" s="155"/>
      <c r="G20" s="155"/>
      <c r="H20" s="155"/>
      <c r="I20" s="155"/>
      <c r="J20" s="155"/>
      <c r="K20" s="155"/>
      <c r="L20" s="155"/>
      <c r="M20" s="217"/>
      <c r="N20" s="352"/>
      <c r="O20" s="217"/>
      <c r="P20" s="432"/>
      <c r="Q20" s="432"/>
      <c r="R20" s="432"/>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row>
    <row r="21" spans="1:44" s="137" customFormat="1" ht="14.25" customHeight="1" x14ac:dyDescent="0.25">
      <c r="A21" s="217"/>
      <c r="B21" s="154"/>
      <c r="C21" s="154"/>
      <c r="D21" s="138"/>
      <c r="E21" s="138"/>
      <c r="F21" s="138"/>
      <c r="G21" s="138"/>
      <c r="H21" s="138"/>
      <c r="I21" s="138"/>
      <c r="J21" s="138"/>
      <c r="K21" s="138"/>
      <c r="L21" s="138"/>
      <c r="M21" s="217"/>
      <c r="N21" s="352" t="s">
        <v>259</v>
      </c>
      <c r="O21" s="217"/>
      <c r="P21" s="432"/>
      <c r="Q21" s="432"/>
      <c r="R21" s="432"/>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row>
    <row r="22" spans="1:44" s="137" customFormat="1" ht="14.25" customHeight="1" x14ac:dyDescent="0.25">
      <c r="A22" s="217"/>
      <c r="B22" s="398" t="s">
        <v>28</v>
      </c>
      <c r="C22" s="398"/>
      <c r="D22" s="398"/>
      <c r="E22" s="398"/>
      <c r="F22" s="398"/>
      <c r="G22" s="398"/>
      <c r="H22" s="398"/>
      <c r="I22" s="398"/>
      <c r="J22" s="398"/>
      <c r="K22" s="398"/>
      <c r="L22" s="398"/>
      <c r="M22" s="217"/>
      <c r="N22" s="352"/>
      <c r="O22" s="217"/>
      <c r="P22" s="432"/>
      <c r="Q22" s="432"/>
      <c r="R22" s="432"/>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row>
    <row r="23" spans="1:44" s="137" customFormat="1" ht="14.25" customHeight="1" x14ac:dyDescent="0.25">
      <c r="A23" s="217"/>
      <c r="B23" s="398"/>
      <c r="C23" s="398"/>
      <c r="D23" s="398"/>
      <c r="E23" s="398"/>
      <c r="F23" s="398"/>
      <c r="G23" s="398"/>
      <c r="H23" s="398"/>
      <c r="I23" s="398"/>
      <c r="J23" s="398"/>
      <c r="K23" s="398"/>
      <c r="L23" s="398"/>
      <c r="M23" s="217"/>
      <c r="N23" s="217"/>
      <c r="O23" s="217"/>
      <c r="P23" s="432"/>
      <c r="Q23" s="432"/>
      <c r="R23" s="432"/>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row>
    <row r="24" spans="1:44" s="137" customFormat="1" ht="14.25" customHeight="1" x14ac:dyDescent="0.25">
      <c r="A24" s="217"/>
      <c r="B24" s="138"/>
      <c r="C24" s="138"/>
      <c r="D24" s="138"/>
      <c r="E24" s="138"/>
      <c r="F24" s="138"/>
      <c r="G24" s="138"/>
      <c r="H24" s="138"/>
      <c r="I24" s="138"/>
      <c r="J24" s="138"/>
      <c r="K24" s="138"/>
      <c r="L24" s="138"/>
      <c r="M24" s="217"/>
      <c r="N24" s="243" t="s">
        <v>261</v>
      </c>
      <c r="O24" s="217"/>
      <c r="P24" s="432"/>
      <c r="Q24" s="432"/>
      <c r="R24" s="432"/>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row>
    <row r="25" spans="1:44" s="137" customFormat="1" ht="14.25" customHeight="1" x14ac:dyDescent="0.25">
      <c r="A25" s="217"/>
      <c r="B25" s="398" t="s">
        <v>8</v>
      </c>
      <c r="C25" s="398"/>
      <c r="D25" s="398"/>
      <c r="E25" s="398"/>
      <c r="F25" s="398"/>
      <c r="G25" s="398"/>
      <c r="H25" s="398"/>
      <c r="I25" s="398"/>
      <c r="J25" s="398"/>
      <c r="K25" s="398"/>
      <c r="L25" s="398"/>
      <c r="M25" s="217"/>
      <c r="N25" s="243" t="s">
        <v>309</v>
      </c>
      <c r="O25" s="217"/>
      <c r="P25" s="432"/>
      <c r="Q25" s="432"/>
      <c r="R25" s="432"/>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row>
    <row r="26" spans="1:44" s="137" customFormat="1" ht="14.25" customHeight="1" x14ac:dyDescent="0.25">
      <c r="A26" s="217"/>
      <c r="B26" s="398"/>
      <c r="C26" s="398"/>
      <c r="D26" s="398"/>
      <c r="E26" s="398"/>
      <c r="F26" s="398"/>
      <c r="G26" s="398"/>
      <c r="H26" s="398"/>
      <c r="I26" s="398"/>
      <c r="J26" s="398"/>
      <c r="K26" s="398"/>
      <c r="L26" s="398"/>
      <c r="M26" s="217"/>
      <c r="N26" s="352" t="s">
        <v>302</v>
      </c>
      <c r="O26" s="217"/>
      <c r="P26" s="432"/>
      <c r="Q26" s="432"/>
      <c r="R26" s="432"/>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row>
    <row r="27" spans="1:44" s="137" customFormat="1" ht="14.25" customHeight="1" x14ac:dyDescent="0.25">
      <c r="A27" s="217"/>
      <c r="B27" s="398"/>
      <c r="C27" s="398"/>
      <c r="D27" s="398"/>
      <c r="E27" s="398"/>
      <c r="F27" s="398"/>
      <c r="G27" s="398"/>
      <c r="H27" s="398"/>
      <c r="I27" s="398"/>
      <c r="J27" s="398"/>
      <c r="K27" s="398"/>
      <c r="L27" s="398"/>
      <c r="M27" s="217"/>
      <c r="N27" s="352"/>
      <c r="O27" s="217"/>
      <c r="P27" s="432"/>
      <c r="Q27" s="432"/>
      <c r="R27" s="432"/>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row>
    <row r="28" spans="1:44" s="137" customFormat="1" ht="10.5" customHeight="1" x14ac:dyDescent="0.25">
      <c r="A28" s="217"/>
      <c r="B28" s="138"/>
      <c r="C28" s="152"/>
      <c r="D28" s="152"/>
      <c r="E28" s="152"/>
      <c r="F28" s="152"/>
      <c r="G28" s="152"/>
      <c r="H28" s="152"/>
      <c r="I28" s="152"/>
      <c r="J28" s="152"/>
      <c r="K28" s="152"/>
      <c r="L28" s="152"/>
      <c r="M28" s="217"/>
      <c r="N28" s="352" t="s">
        <v>315</v>
      </c>
      <c r="O28" s="217"/>
      <c r="P28" s="432"/>
      <c r="Q28" s="432"/>
      <c r="R28" s="432"/>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row>
    <row r="29" spans="1:44" s="137" customFormat="1" ht="14.25" customHeight="1" x14ac:dyDescent="0.25">
      <c r="A29" s="217"/>
      <c r="B29" s="398" t="s">
        <v>325</v>
      </c>
      <c r="C29" s="398"/>
      <c r="D29" s="398"/>
      <c r="E29" s="398"/>
      <c r="F29" s="398"/>
      <c r="G29" s="398"/>
      <c r="H29" s="398"/>
      <c r="I29" s="398"/>
      <c r="J29" s="398"/>
      <c r="K29" s="398"/>
      <c r="L29" s="398"/>
      <c r="M29" s="217"/>
      <c r="N29" s="352"/>
      <c r="O29" s="217"/>
      <c r="P29" s="432"/>
      <c r="Q29" s="432"/>
      <c r="R29" s="432"/>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row>
    <row r="30" spans="1:44" s="137" customFormat="1" ht="15" customHeight="1" x14ac:dyDescent="0.25">
      <c r="A30" s="217"/>
      <c r="B30" s="398"/>
      <c r="C30" s="398"/>
      <c r="D30" s="398"/>
      <c r="E30" s="398"/>
      <c r="F30" s="398"/>
      <c r="G30" s="398"/>
      <c r="H30" s="398"/>
      <c r="I30" s="398"/>
      <c r="J30" s="398"/>
      <c r="K30" s="398"/>
      <c r="L30" s="398"/>
      <c r="M30" s="217"/>
      <c r="N30" s="352" t="s">
        <v>259</v>
      </c>
      <c r="O30" s="217"/>
      <c r="P30" s="432"/>
      <c r="Q30" s="432"/>
      <c r="R30" s="432"/>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row>
    <row r="31" spans="1:44" s="137" customFormat="1" ht="10.5" customHeight="1" x14ac:dyDescent="0.25">
      <c r="A31" s="217"/>
      <c r="B31" s="152"/>
      <c r="C31" s="152"/>
      <c r="D31" s="152"/>
      <c r="E31" s="152"/>
      <c r="F31" s="152"/>
      <c r="G31" s="152"/>
      <c r="H31" s="152"/>
      <c r="I31" s="152"/>
      <c r="J31" s="152"/>
      <c r="K31" s="152"/>
      <c r="L31" s="152"/>
      <c r="M31" s="217"/>
      <c r="N31" s="352"/>
      <c r="O31" s="217"/>
      <c r="P31" s="432"/>
      <c r="Q31" s="432"/>
      <c r="R31" s="432"/>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row>
    <row r="32" spans="1:44" s="137" customFormat="1" ht="14.25" customHeight="1" x14ac:dyDescent="0.25">
      <c r="A32" s="217"/>
      <c r="B32" s="384" t="s">
        <v>326</v>
      </c>
      <c r="C32" s="384"/>
      <c r="D32" s="384"/>
      <c r="E32" s="384"/>
      <c r="F32" s="384"/>
      <c r="G32" s="384"/>
      <c r="H32" s="384"/>
      <c r="I32" s="384"/>
      <c r="J32" s="384"/>
      <c r="K32" s="384"/>
      <c r="L32" s="384"/>
      <c r="M32" s="217"/>
      <c r="N32" s="334"/>
      <c r="O32" s="217"/>
      <c r="P32" s="432"/>
      <c r="Q32" s="432"/>
      <c r="R32" s="432"/>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row>
    <row r="33" spans="1:44" ht="9" customHeight="1" x14ac:dyDescent="0.25">
      <c r="A33" s="218"/>
      <c r="B33" s="152"/>
      <c r="C33" s="152"/>
      <c r="D33" s="152"/>
      <c r="E33" s="152"/>
      <c r="F33" s="152"/>
      <c r="G33" s="152"/>
      <c r="H33" s="152"/>
      <c r="I33" s="152"/>
      <c r="J33" s="152"/>
      <c r="K33" s="152"/>
      <c r="L33" s="152"/>
      <c r="M33" s="218"/>
      <c r="N33" s="334"/>
      <c r="O33" s="218"/>
      <c r="P33" s="432"/>
      <c r="Q33" s="432"/>
      <c r="R33" s="432"/>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row>
    <row r="34" spans="1:44" ht="4.5" customHeight="1" x14ac:dyDescent="0.25">
      <c r="A34" s="218"/>
      <c r="B34" s="138"/>
      <c r="C34" s="138"/>
      <c r="D34" s="138"/>
      <c r="E34" s="138"/>
      <c r="F34" s="138"/>
      <c r="G34" s="138"/>
      <c r="H34" s="138"/>
      <c r="I34" s="138"/>
      <c r="J34" s="138"/>
      <c r="K34" s="138"/>
      <c r="L34" s="138"/>
      <c r="M34" s="218"/>
      <c r="N34" s="334"/>
      <c r="O34" s="218"/>
      <c r="P34" s="432"/>
      <c r="Q34" s="432"/>
      <c r="R34" s="432"/>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row>
    <row r="35" spans="1:44" s="14" customFormat="1" ht="30" customHeight="1" x14ac:dyDescent="0.25">
      <c r="A35" s="219"/>
      <c r="B35" s="397" t="s">
        <v>298</v>
      </c>
      <c r="C35" s="397"/>
      <c r="D35" s="397"/>
      <c r="E35" s="397"/>
      <c r="F35" s="397"/>
      <c r="G35" s="397"/>
      <c r="H35" s="397"/>
      <c r="I35" s="397"/>
      <c r="J35" s="397"/>
      <c r="K35" s="397"/>
      <c r="L35" s="397"/>
      <c r="M35" s="219"/>
      <c r="N35" s="334"/>
      <c r="O35" s="219"/>
      <c r="P35" s="432"/>
      <c r="Q35" s="432"/>
      <c r="R35" s="432"/>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row>
    <row r="36" spans="1:44" ht="45" customHeight="1" x14ac:dyDescent="0.25">
      <c r="A36" s="218"/>
      <c r="B36" s="218"/>
      <c r="C36" s="218"/>
      <c r="D36" s="218"/>
      <c r="E36" s="218"/>
      <c r="F36" s="218"/>
      <c r="G36" s="218"/>
      <c r="H36" s="218"/>
      <c r="I36" s="218"/>
      <c r="J36" s="218"/>
      <c r="K36" s="218"/>
      <c r="L36" s="220"/>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row>
    <row r="37" spans="1:44" ht="45" customHeight="1" x14ac:dyDescent="0.25">
      <c r="A37" s="218"/>
      <c r="B37" s="218"/>
      <c r="C37" s="218"/>
      <c r="D37" s="218"/>
      <c r="E37" s="218"/>
      <c r="F37" s="218"/>
      <c r="G37" s="218"/>
      <c r="H37" s="218"/>
      <c r="I37" s="218"/>
      <c r="J37" s="218"/>
      <c r="K37" s="218"/>
      <c r="L37" s="220"/>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row>
    <row r="38" spans="1:44" ht="45" customHeight="1" x14ac:dyDescent="0.25">
      <c r="A38" s="218"/>
      <c r="B38" s="218"/>
      <c r="C38" s="218"/>
      <c r="D38" s="218"/>
      <c r="E38" s="218"/>
      <c r="F38" s="218"/>
      <c r="G38" s="218"/>
      <c r="H38" s="218"/>
      <c r="I38" s="218"/>
      <c r="J38" s="218"/>
      <c r="K38" s="218"/>
      <c r="L38" s="220"/>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row>
    <row r="39" spans="1:44" ht="45" customHeight="1" x14ac:dyDescent="0.25">
      <c r="A39" s="218"/>
      <c r="B39" s="218"/>
      <c r="C39" s="218"/>
      <c r="D39" s="218"/>
      <c r="E39" s="218"/>
      <c r="F39" s="218"/>
      <c r="G39" s="218"/>
      <c r="H39" s="218"/>
      <c r="I39" s="218"/>
      <c r="J39" s="218"/>
      <c r="K39" s="218"/>
      <c r="L39" s="220"/>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row>
    <row r="40" spans="1:44" ht="45" customHeight="1" x14ac:dyDescent="0.25">
      <c r="A40" s="218"/>
      <c r="B40" s="218"/>
      <c r="C40" s="218"/>
      <c r="D40" s="218"/>
      <c r="E40" s="218"/>
      <c r="F40" s="218"/>
      <c r="G40" s="218"/>
      <c r="H40" s="218"/>
      <c r="I40" s="218"/>
      <c r="J40" s="218"/>
      <c r="K40" s="218"/>
      <c r="L40" s="220"/>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row>
    <row r="41" spans="1:44" ht="45" customHeight="1" x14ac:dyDescent="0.25">
      <c r="A41" s="218"/>
      <c r="B41" s="218"/>
      <c r="C41" s="218"/>
      <c r="D41" s="218"/>
      <c r="E41" s="218"/>
      <c r="F41" s="218"/>
      <c r="G41" s="218"/>
      <c r="H41" s="218"/>
      <c r="I41" s="218"/>
      <c r="J41" s="218"/>
      <c r="K41" s="218"/>
      <c r="L41" s="220"/>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row>
    <row r="42" spans="1:44" ht="45" customHeight="1" x14ac:dyDescent="0.25">
      <c r="A42" s="218"/>
      <c r="B42" s="218"/>
      <c r="C42" s="218"/>
      <c r="D42" s="218"/>
      <c r="E42" s="218"/>
      <c r="F42" s="218"/>
      <c r="G42" s="218"/>
      <c r="H42" s="218"/>
      <c r="I42" s="218"/>
      <c r="J42" s="218"/>
      <c r="K42" s="218"/>
      <c r="L42" s="220"/>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row>
    <row r="43" spans="1:44" ht="45" customHeight="1" x14ac:dyDescent="0.25">
      <c r="A43" s="218"/>
      <c r="B43" s="218"/>
      <c r="C43" s="218"/>
      <c r="D43" s="218"/>
      <c r="E43" s="218"/>
      <c r="F43" s="218"/>
      <c r="G43" s="218"/>
      <c r="H43" s="218"/>
      <c r="I43" s="218"/>
      <c r="J43" s="218"/>
      <c r="K43" s="218"/>
      <c r="L43" s="220"/>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row>
    <row r="44" spans="1:44" ht="45" customHeight="1" x14ac:dyDescent="0.25">
      <c r="A44" s="218"/>
      <c r="B44" s="218"/>
      <c r="C44" s="218"/>
      <c r="D44" s="218"/>
      <c r="E44" s="218"/>
      <c r="F44" s="218"/>
      <c r="G44" s="218"/>
      <c r="H44" s="218"/>
      <c r="I44" s="218"/>
      <c r="J44" s="218"/>
      <c r="K44" s="218"/>
      <c r="L44" s="220"/>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row>
    <row r="45" spans="1:44" ht="45" customHeight="1" x14ac:dyDescent="0.25">
      <c r="A45" s="218"/>
      <c r="B45" s="218"/>
      <c r="C45" s="218"/>
      <c r="D45" s="218"/>
      <c r="E45" s="218"/>
      <c r="F45" s="218"/>
      <c r="G45" s="218"/>
      <c r="H45" s="218"/>
      <c r="I45" s="218"/>
      <c r="J45" s="218"/>
      <c r="K45" s="218"/>
      <c r="L45" s="220"/>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row>
    <row r="46" spans="1:44" ht="45" customHeight="1" x14ac:dyDescent="0.25">
      <c r="A46" s="218"/>
      <c r="B46" s="218"/>
      <c r="C46" s="218"/>
      <c r="D46" s="218"/>
      <c r="E46" s="218"/>
      <c r="F46" s="218"/>
      <c r="G46" s="218"/>
      <c r="H46" s="218"/>
      <c r="I46" s="218"/>
      <c r="J46" s="218"/>
      <c r="K46" s="218"/>
      <c r="L46" s="220"/>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row>
    <row r="47" spans="1:44" ht="45" customHeight="1" x14ac:dyDescent="0.25">
      <c r="A47" s="218"/>
      <c r="B47" s="218"/>
      <c r="C47" s="218"/>
      <c r="D47" s="218"/>
      <c r="E47" s="218"/>
      <c r="F47" s="218"/>
      <c r="G47" s="218"/>
      <c r="H47" s="218"/>
      <c r="I47" s="218"/>
      <c r="J47" s="218"/>
      <c r="K47" s="218"/>
      <c r="L47" s="220"/>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row>
    <row r="48" spans="1:44" ht="45" customHeight="1" x14ac:dyDescent="0.25">
      <c r="A48" s="218"/>
      <c r="B48" s="218"/>
      <c r="C48" s="218"/>
      <c r="D48" s="218"/>
      <c r="E48" s="218"/>
      <c r="F48" s="218"/>
      <c r="G48" s="218"/>
      <c r="H48" s="218"/>
      <c r="I48" s="218"/>
      <c r="J48" s="218"/>
      <c r="K48" s="218"/>
      <c r="L48" s="220"/>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row>
    <row r="49" spans="1:44" ht="45" customHeight="1" x14ac:dyDescent="0.25">
      <c r="A49" s="218"/>
      <c r="B49" s="218"/>
      <c r="C49" s="218"/>
      <c r="D49" s="218"/>
      <c r="E49" s="218"/>
      <c r="F49" s="218"/>
      <c r="G49" s="218"/>
      <c r="H49" s="218"/>
      <c r="I49" s="218"/>
      <c r="J49" s="218"/>
      <c r="K49" s="218"/>
      <c r="L49" s="220"/>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row>
    <row r="50" spans="1:44" ht="45" customHeight="1" x14ac:dyDescent="0.25">
      <c r="A50" s="218"/>
      <c r="B50" s="218"/>
      <c r="C50" s="218"/>
      <c r="D50" s="218"/>
      <c r="E50" s="218"/>
      <c r="F50" s="218"/>
      <c r="G50" s="218"/>
      <c r="H50" s="218"/>
      <c r="I50" s="218"/>
      <c r="J50" s="218"/>
      <c r="K50" s="218"/>
      <c r="L50" s="220"/>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row>
    <row r="51" spans="1:44" ht="45" customHeight="1" x14ac:dyDescent="0.25">
      <c r="A51" s="218"/>
      <c r="B51" s="218"/>
      <c r="C51" s="218"/>
      <c r="D51" s="218"/>
      <c r="E51" s="218"/>
      <c r="F51" s="218"/>
      <c r="G51" s="218"/>
      <c r="H51" s="218"/>
      <c r="I51" s="218"/>
      <c r="J51" s="218"/>
      <c r="K51" s="218"/>
      <c r="L51" s="220"/>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row>
    <row r="52" spans="1:44" ht="45" customHeight="1" x14ac:dyDescent="0.25">
      <c r="A52" s="218"/>
      <c r="B52" s="218"/>
      <c r="C52" s="218"/>
      <c r="D52" s="218"/>
      <c r="E52" s="218"/>
      <c r="F52" s="218"/>
      <c r="G52" s="218"/>
      <c r="H52" s="218"/>
      <c r="I52" s="218"/>
      <c r="J52" s="218"/>
      <c r="K52" s="218"/>
      <c r="L52" s="220"/>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row>
    <row r="53" spans="1:44" ht="45" customHeight="1" x14ac:dyDescent="0.25">
      <c r="A53" s="218"/>
      <c r="B53" s="218"/>
      <c r="C53" s="218"/>
      <c r="D53" s="218"/>
      <c r="E53" s="218"/>
      <c r="F53" s="218"/>
      <c r="G53" s="218"/>
      <c r="H53" s="218"/>
      <c r="I53" s="218"/>
      <c r="J53" s="218"/>
      <c r="K53" s="218"/>
      <c r="L53" s="220"/>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row>
    <row r="54" spans="1:44" ht="45" customHeight="1" x14ac:dyDescent="0.25">
      <c r="A54" s="218"/>
      <c r="B54" s="218"/>
      <c r="C54" s="218"/>
      <c r="D54" s="218"/>
      <c r="E54" s="218"/>
      <c r="F54" s="218"/>
      <c r="G54" s="218"/>
      <c r="H54" s="218"/>
      <c r="I54" s="218"/>
      <c r="J54" s="218"/>
      <c r="K54" s="218"/>
      <c r="L54" s="220"/>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row>
    <row r="55" spans="1:44" ht="45" customHeight="1" x14ac:dyDescent="0.25">
      <c r="A55" s="218"/>
      <c r="B55" s="218"/>
      <c r="C55" s="218"/>
      <c r="D55" s="218"/>
      <c r="E55" s="218"/>
      <c r="F55" s="218"/>
      <c r="G55" s="218"/>
      <c r="H55" s="218"/>
      <c r="I55" s="218"/>
      <c r="J55" s="218"/>
      <c r="K55" s="218"/>
      <c r="L55" s="220"/>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row>
    <row r="56" spans="1:44" ht="45" customHeight="1" x14ac:dyDescent="0.25">
      <c r="A56" s="218"/>
      <c r="B56" s="218"/>
      <c r="C56" s="218"/>
      <c r="D56" s="218"/>
      <c r="E56" s="218"/>
      <c r="F56" s="218"/>
      <c r="G56" s="218"/>
      <c r="H56" s="218"/>
      <c r="I56" s="218"/>
      <c r="J56" s="218"/>
      <c r="K56" s="218"/>
      <c r="L56" s="220"/>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row>
    <row r="57" spans="1:44" ht="45" customHeight="1" x14ac:dyDescent="0.25">
      <c r="A57" s="218"/>
      <c r="B57" s="218"/>
      <c r="C57" s="218"/>
      <c r="D57" s="218"/>
      <c r="E57" s="218"/>
      <c r="F57" s="218"/>
      <c r="G57" s="218"/>
      <c r="H57" s="218"/>
      <c r="I57" s="218"/>
      <c r="J57" s="218"/>
      <c r="K57" s="218"/>
      <c r="L57" s="220"/>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row>
    <row r="58" spans="1:44" ht="45" customHeight="1" x14ac:dyDescent="0.25">
      <c r="A58" s="218"/>
      <c r="B58" s="218"/>
      <c r="C58" s="218"/>
      <c r="D58" s="218"/>
      <c r="E58" s="218"/>
      <c r="F58" s="218"/>
      <c r="G58" s="218"/>
      <c r="H58" s="218"/>
      <c r="I58" s="218"/>
      <c r="J58" s="218"/>
      <c r="K58" s="218"/>
      <c r="L58" s="220"/>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row>
    <row r="59" spans="1:44" ht="45" customHeight="1" x14ac:dyDescent="0.25">
      <c r="A59" s="218"/>
      <c r="B59" s="218"/>
      <c r="C59" s="218"/>
      <c r="D59" s="218"/>
      <c r="E59" s="218"/>
      <c r="F59" s="218"/>
      <c r="G59" s="218"/>
      <c r="H59" s="218"/>
      <c r="I59" s="218"/>
      <c r="J59" s="218"/>
      <c r="K59" s="218"/>
      <c r="L59" s="220"/>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row>
    <row r="60" spans="1:44" ht="45" customHeight="1" x14ac:dyDescent="0.25">
      <c r="A60" s="218"/>
      <c r="B60" s="218"/>
      <c r="C60" s="218"/>
      <c r="D60" s="218"/>
      <c r="E60" s="218"/>
      <c r="F60" s="218"/>
      <c r="G60" s="218"/>
      <c r="H60" s="218"/>
      <c r="I60" s="218"/>
      <c r="J60" s="218"/>
      <c r="K60" s="218"/>
      <c r="L60" s="220"/>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row>
    <row r="61" spans="1:44" ht="45" customHeight="1" x14ac:dyDescent="0.25">
      <c r="A61" s="218"/>
      <c r="B61" s="218"/>
      <c r="C61" s="218"/>
      <c r="D61" s="218"/>
      <c r="E61" s="218"/>
      <c r="F61" s="218"/>
      <c r="G61" s="218"/>
      <c r="H61" s="218"/>
      <c r="I61" s="218"/>
      <c r="J61" s="218"/>
      <c r="K61" s="218"/>
      <c r="L61" s="220"/>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row>
    <row r="62" spans="1:44" ht="45" customHeight="1" x14ac:dyDescent="0.25">
      <c r="A62" s="218"/>
      <c r="B62" s="218"/>
      <c r="C62" s="218"/>
      <c r="D62" s="218"/>
      <c r="E62" s="218"/>
      <c r="F62" s="218"/>
      <c r="G62" s="218"/>
      <c r="H62" s="218"/>
      <c r="I62" s="218"/>
      <c r="J62" s="218"/>
      <c r="K62" s="218"/>
      <c r="L62" s="220"/>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row>
    <row r="63" spans="1:44" ht="45" customHeight="1" x14ac:dyDescent="0.25">
      <c r="A63" s="218"/>
      <c r="B63" s="218"/>
      <c r="C63" s="218"/>
      <c r="D63" s="218"/>
      <c r="E63" s="218"/>
      <c r="F63" s="218"/>
      <c r="G63" s="218"/>
      <c r="H63" s="218"/>
      <c r="I63" s="218"/>
      <c r="J63" s="218"/>
      <c r="K63" s="218"/>
      <c r="L63" s="220"/>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row>
    <row r="64" spans="1:44" ht="45" customHeight="1" x14ac:dyDescent="0.25">
      <c r="A64" s="218"/>
      <c r="B64" s="218"/>
      <c r="C64" s="218"/>
      <c r="D64" s="218"/>
      <c r="E64" s="218"/>
      <c r="F64" s="218"/>
      <c r="G64" s="218"/>
      <c r="H64" s="218"/>
      <c r="I64" s="218"/>
      <c r="J64" s="218"/>
      <c r="K64" s="218"/>
      <c r="L64" s="220"/>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row>
    <row r="65" spans="1:44" ht="45" customHeight="1" x14ac:dyDescent="0.25">
      <c r="A65" s="218"/>
      <c r="B65" s="218"/>
      <c r="C65" s="218"/>
      <c r="D65" s="218"/>
      <c r="E65" s="218"/>
      <c r="F65" s="218"/>
      <c r="G65" s="218"/>
      <c r="H65" s="218"/>
      <c r="I65" s="218"/>
      <c r="J65" s="218"/>
      <c r="K65" s="218"/>
      <c r="L65" s="220"/>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row>
    <row r="66" spans="1:44" ht="45" customHeight="1" x14ac:dyDescent="0.25">
      <c r="A66" s="218"/>
      <c r="B66" s="218"/>
      <c r="C66" s="218"/>
      <c r="D66" s="218"/>
      <c r="E66" s="218"/>
      <c r="F66" s="218"/>
      <c r="G66" s="218"/>
      <c r="H66" s="218"/>
      <c r="I66" s="218"/>
      <c r="J66" s="218"/>
      <c r="K66" s="218"/>
      <c r="L66" s="220"/>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row>
    <row r="67" spans="1:44" ht="45" customHeight="1" x14ac:dyDescent="0.25">
      <c r="A67" s="218"/>
      <c r="B67" s="218"/>
      <c r="C67" s="218"/>
      <c r="D67" s="218"/>
      <c r="E67" s="218"/>
      <c r="F67" s="218"/>
      <c r="G67" s="218"/>
      <c r="H67" s="218"/>
      <c r="I67" s="218"/>
      <c r="J67" s="218"/>
      <c r="K67" s="218"/>
      <c r="L67" s="220"/>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row>
    <row r="68" spans="1:44" ht="45" customHeight="1" x14ac:dyDescent="0.25">
      <c r="A68" s="218"/>
      <c r="B68" s="218"/>
      <c r="C68" s="218"/>
      <c r="D68" s="218"/>
      <c r="E68" s="218"/>
      <c r="F68" s="218"/>
      <c r="G68" s="218"/>
      <c r="H68" s="218"/>
      <c r="I68" s="218"/>
      <c r="J68" s="218"/>
      <c r="K68" s="218"/>
      <c r="L68" s="220"/>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row>
    <row r="69" spans="1:44" ht="45" customHeight="1" x14ac:dyDescent="0.25">
      <c r="A69" s="218"/>
      <c r="B69" s="218"/>
      <c r="C69" s="218"/>
      <c r="D69" s="218"/>
      <c r="E69" s="218"/>
      <c r="F69" s="218"/>
      <c r="G69" s="218"/>
      <c r="H69" s="218"/>
      <c r="I69" s="218"/>
      <c r="J69" s="218"/>
      <c r="K69" s="218"/>
      <c r="L69" s="220"/>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row>
    <row r="70" spans="1:44" ht="45" customHeight="1" x14ac:dyDescent="0.25">
      <c r="A70" s="218"/>
      <c r="B70" s="218"/>
      <c r="C70" s="218"/>
      <c r="D70" s="218"/>
      <c r="E70" s="218"/>
      <c r="F70" s="218"/>
      <c r="G70" s="218"/>
      <c r="H70" s="218"/>
      <c r="I70" s="218"/>
      <c r="J70" s="218"/>
      <c r="K70" s="218"/>
      <c r="L70" s="220"/>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row>
    <row r="71" spans="1:44" ht="45" customHeight="1" x14ac:dyDescent="0.25">
      <c r="A71" s="218"/>
      <c r="B71" s="218"/>
      <c r="C71" s="218"/>
      <c r="D71" s="218"/>
      <c r="E71" s="218"/>
      <c r="F71" s="218"/>
      <c r="G71" s="218"/>
      <c r="H71" s="218"/>
      <c r="I71" s="218"/>
      <c r="J71" s="218"/>
      <c r="K71" s="218"/>
      <c r="L71" s="220"/>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row>
    <row r="72" spans="1:44" ht="45" customHeight="1" x14ac:dyDescent="0.25">
      <c r="A72" s="218"/>
      <c r="B72" s="218"/>
      <c r="C72" s="218"/>
      <c r="D72" s="218"/>
      <c r="E72" s="218"/>
      <c r="F72" s="218"/>
      <c r="G72" s="218"/>
      <c r="H72" s="218"/>
      <c r="I72" s="218"/>
      <c r="J72" s="218"/>
      <c r="K72" s="218"/>
      <c r="L72" s="220"/>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row>
    <row r="73" spans="1:44" ht="45" customHeight="1" x14ac:dyDescent="0.25">
      <c r="A73" s="218"/>
      <c r="B73" s="218"/>
      <c r="C73" s="218"/>
      <c r="D73" s="218"/>
      <c r="E73" s="218"/>
      <c r="F73" s="218"/>
      <c r="G73" s="218"/>
      <c r="H73" s="218"/>
      <c r="I73" s="218"/>
      <c r="J73" s="218"/>
      <c r="K73" s="218"/>
      <c r="L73" s="220"/>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row>
    <row r="74" spans="1:44" ht="45" customHeight="1" x14ac:dyDescent="0.25">
      <c r="A74" s="218"/>
      <c r="B74" s="218"/>
      <c r="C74" s="218"/>
      <c r="D74" s="218"/>
      <c r="E74" s="218"/>
      <c r="F74" s="218"/>
      <c r="G74" s="218"/>
      <c r="H74" s="218"/>
      <c r="I74" s="218"/>
      <c r="J74" s="218"/>
      <c r="K74" s="218"/>
      <c r="L74" s="220"/>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row>
    <row r="75" spans="1:44" ht="45" customHeight="1" x14ac:dyDescent="0.25">
      <c r="A75" s="218"/>
      <c r="B75" s="218"/>
      <c r="C75" s="218"/>
      <c r="D75" s="218"/>
      <c r="E75" s="218"/>
      <c r="F75" s="218"/>
      <c r="G75" s="218"/>
      <c r="H75" s="218"/>
      <c r="I75" s="218"/>
      <c r="J75" s="218"/>
      <c r="K75" s="218"/>
      <c r="L75" s="220"/>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row>
    <row r="76" spans="1:44" ht="45" customHeight="1" x14ac:dyDescent="0.25">
      <c r="A76" s="218"/>
      <c r="B76" s="218"/>
      <c r="C76" s="218"/>
      <c r="D76" s="218"/>
      <c r="E76" s="218"/>
      <c r="F76" s="218"/>
      <c r="G76" s="218"/>
      <c r="H76" s="218"/>
      <c r="I76" s="218"/>
      <c r="J76" s="218"/>
      <c r="K76" s="218"/>
      <c r="L76" s="220"/>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row>
    <row r="77" spans="1:44" ht="45" customHeight="1" x14ac:dyDescent="0.25">
      <c r="A77" s="218"/>
      <c r="B77" s="218"/>
      <c r="C77" s="218"/>
      <c r="D77" s="218"/>
      <c r="E77" s="218"/>
      <c r="F77" s="218"/>
      <c r="G77" s="218"/>
      <c r="H77" s="218"/>
      <c r="I77" s="218"/>
      <c r="J77" s="218"/>
      <c r="K77" s="218"/>
      <c r="L77" s="220"/>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row>
    <row r="78" spans="1:44" ht="45" customHeight="1" x14ac:dyDescent="0.25">
      <c r="A78" s="218"/>
      <c r="B78" s="218"/>
      <c r="C78" s="218"/>
      <c r="D78" s="218"/>
      <c r="E78" s="218"/>
      <c r="F78" s="218"/>
      <c r="G78" s="218"/>
      <c r="H78" s="218"/>
      <c r="I78" s="218"/>
      <c r="J78" s="218"/>
      <c r="K78" s="218"/>
      <c r="L78" s="220"/>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row>
    <row r="79" spans="1:44" ht="45" customHeight="1" x14ac:dyDescent="0.25">
      <c r="A79" s="218"/>
      <c r="B79" s="218"/>
      <c r="C79" s="218"/>
      <c r="D79" s="218"/>
      <c r="E79" s="218"/>
      <c r="F79" s="218"/>
      <c r="G79" s="218"/>
      <c r="H79" s="218"/>
      <c r="I79" s="218"/>
      <c r="J79" s="218"/>
      <c r="K79" s="218"/>
      <c r="L79" s="220"/>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row>
    <row r="80" spans="1:44" ht="45" customHeight="1" x14ac:dyDescent="0.25">
      <c r="A80" s="218"/>
      <c r="B80" s="218"/>
      <c r="C80" s="218"/>
      <c r="D80" s="218"/>
      <c r="E80" s="218"/>
      <c r="F80" s="218"/>
      <c r="G80" s="218"/>
      <c r="H80" s="218"/>
      <c r="I80" s="218"/>
      <c r="J80" s="218"/>
      <c r="K80" s="218"/>
      <c r="L80" s="220"/>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row>
    <row r="81" spans="1:44" ht="45" customHeight="1" x14ac:dyDescent="0.25">
      <c r="A81" s="218"/>
      <c r="B81" s="218"/>
      <c r="C81" s="218"/>
      <c r="D81" s="218"/>
      <c r="E81" s="218"/>
      <c r="F81" s="218"/>
      <c r="G81" s="218"/>
      <c r="H81" s="218"/>
      <c r="I81" s="218"/>
      <c r="J81" s="218"/>
      <c r="K81" s="218"/>
      <c r="L81" s="220"/>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row>
    <row r="82" spans="1:44" ht="45" customHeight="1" x14ac:dyDescent="0.25">
      <c r="A82" s="218"/>
      <c r="B82" s="218"/>
      <c r="C82" s="218"/>
      <c r="D82" s="218"/>
      <c r="E82" s="218"/>
      <c r="F82" s="218"/>
      <c r="G82" s="218"/>
      <c r="H82" s="218"/>
      <c r="I82" s="218"/>
      <c r="J82" s="218"/>
      <c r="K82" s="218"/>
      <c r="L82" s="220"/>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row>
    <row r="83" spans="1:44" ht="45" customHeight="1" x14ac:dyDescent="0.25">
      <c r="A83" s="218"/>
      <c r="B83" s="218"/>
      <c r="C83" s="218"/>
      <c r="D83" s="218"/>
      <c r="E83" s="218"/>
      <c r="F83" s="218"/>
      <c r="G83" s="218"/>
      <c r="H83" s="218"/>
      <c r="I83" s="218"/>
      <c r="J83" s="218"/>
      <c r="K83" s="218"/>
      <c r="L83" s="220"/>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row>
    <row r="84" spans="1:44" ht="45" customHeight="1" x14ac:dyDescent="0.25">
      <c r="A84" s="218"/>
      <c r="B84" s="218"/>
      <c r="C84" s="218"/>
      <c r="D84" s="218"/>
      <c r="E84" s="218"/>
      <c r="F84" s="218"/>
      <c r="G84" s="218"/>
      <c r="H84" s="218"/>
      <c r="I84" s="218"/>
      <c r="J84" s="218"/>
      <c r="K84" s="218"/>
      <c r="L84" s="220"/>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row>
    <row r="85" spans="1:44" x14ac:dyDescent="0.25">
      <c r="A85" s="218"/>
      <c r="B85" s="218"/>
      <c r="C85" s="218"/>
      <c r="D85" s="218"/>
      <c r="E85" s="218"/>
      <c r="F85" s="218"/>
      <c r="G85" s="218"/>
      <c r="H85" s="218"/>
      <c r="I85" s="218"/>
      <c r="J85" s="218"/>
      <c r="K85" s="218"/>
      <c r="L85" s="220"/>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row>
    <row r="86" spans="1:44" x14ac:dyDescent="0.25">
      <c r="A86" s="218"/>
      <c r="B86" s="218"/>
      <c r="C86" s="218"/>
      <c r="D86" s="218"/>
      <c r="E86" s="218"/>
      <c r="F86" s="218"/>
      <c r="G86" s="218"/>
      <c r="H86" s="218"/>
      <c r="I86" s="218"/>
      <c r="J86" s="218"/>
      <c r="K86" s="218"/>
      <c r="L86" s="220"/>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row>
  </sheetData>
  <mergeCells count="30">
    <mergeCell ref="N26:N27"/>
    <mergeCell ref="N28:N29"/>
    <mergeCell ref="N30:N31"/>
    <mergeCell ref="B29:L30"/>
    <mergeCell ref="B32:L32"/>
    <mergeCell ref="B22:L23"/>
    <mergeCell ref="F19:G19"/>
    <mergeCell ref="C19:E20"/>
    <mergeCell ref="H19:L19"/>
    <mergeCell ref="N7:N8"/>
    <mergeCell ref="N9:N10"/>
    <mergeCell ref="N11:N13"/>
    <mergeCell ref="N17:N18"/>
    <mergeCell ref="N19:N20"/>
    <mergeCell ref="P14:R35"/>
    <mergeCell ref="B25:L27"/>
    <mergeCell ref="B35:L35"/>
    <mergeCell ref="B2:L2"/>
    <mergeCell ref="B3:L3"/>
    <mergeCell ref="H5:L5"/>
    <mergeCell ref="C14:E15"/>
    <mergeCell ref="H14:L17"/>
    <mergeCell ref="B6:L7"/>
    <mergeCell ref="C9:D9"/>
    <mergeCell ref="G10:G11"/>
    <mergeCell ref="F14:G14"/>
    <mergeCell ref="C11:E12"/>
    <mergeCell ref="H9:L12"/>
    <mergeCell ref="N21:N22"/>
    <mergeCell ref="C17:E17"/>
  </mergeCells>
  <phoneticPr fontId="6" type="noConversion"/>
  <conditionalFormatting sqref="N11:N13">
    <cfRule type="expression" dxfId="0" priority="1" stopIfTrue="1">
      <formula>IF($AY$1=1,TRUE,FALSE)</formula>
    </cfRule>
  </conditionalFormatting>
  <hyperlinks>
    <hyperlink ref="N11:N12" location="Pacht!A1" display="Zu-/Verpachtung bzw. Zu-/Verkauf"/>
    <hyperlink ref="N9:N10" location="'Internetfenster 2'!F6" display="Vergleichsbetrieb à"/>
    <hyperlink ref="N7:N8" location="'Internetfenster 1'!A1" display="Ausgangsbetrieb à"/>
    <hyperlink ref="N30" location="'Höchst-BTG'!A1" display="Höchst-Beitragsgrundlagen"/>
    <hyperlink ref="N28" location="'EHW-Änderungen'!E5" display="Änderungen des Einheitswertes"/>
    <hyperlink ref="N26:N27" location="Betriebsbeitrag!A1" display="Betriebsbeitrag à"/>
    <hyperlink ref="N17" location="'Beiträge aus EHW'!I5" display="Beiträge aus dem Einheitswert à"/>
    <hyperlink ref="N21" location="'Höchst-BTG'!A1" display="Höchst-Beitragsgrundlagen"/>
    <hyperlink ref="N19" location="'EHW-Änderungen'!E5" display="Änderungen des Einheitswertes"/>
  </hyperlinks>
  <printOptions horizontalCentered="1"/>
  <pageMargins left="0.59055118110236227" right="0.59055118110236227" top="0.59055118110236227" bottom="0.59055118110236227" header="0.51181102362204722" footer="0.51181102362204722"/>
  <pageSetup paperSize="9" scale="85" orientation="landscape" r:id="rId1"/>
  <headerFooter alignWithMargins="0">
    <oddFooter>&amp;L&amp;8SVB-Beitragsberechnungsprogramm&amp;C&amp;8Bitte beachten: Die ermittelten Ergebnisse dienen lediglich der Information und sind unverbindlich!&amp;R&amp;8&amp;D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zoomScaleNormal="100" workbookViewId="0">
      <selection activeCell="D23" sqref="D23"/>
    </sheetView>
  </sheetViews>
  <sheetFormatPr baseColWidth="10" defaultRowHeight="13.8" x14ac:dyDescent="0.25"/>
  <sheetData/>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AH88"/>
  <sheetViews>
    <sheetView zoomScaleNormal="100" workbookViewId="0">
      <selection activeCell="T1" sqref="T1:T1048576"/>
    </sheetView>
  </sheetViews>
  <sheetFormatPr baseColWidth="10" defaultRowHeight="15" x14ac:dyDescent="0.25"/>
  <cols>
    <col min="1" max="1" width="1.09765625" style="272" customWidth="1"/>
    <col min="2" max="2" width="25.59765625" style="272" customWidth="1"/>
    <col min="3" max="3" width="20.59765625" style="272" customWidth="1"/>
    <col min="4" max="4" width="3.59765625" customWidth="1"/>
    <col min="5" max="6" width="10.59765625" style="268" customWidth="1"/>
    <col min="7" max="7" width="15.59765625" style="269" customWidth="1"/>
    <col min="8" max="8" width="10.59765625" style="269" customWidth="1"/>
    <col min="9" max="9" width="3.59765625" customWidth="1"/>
    <col min="10" max="13" width="10.59765625" customWidth="1"/>
    <col min="14" max="14" width="5.59765625" customWidth="1"/>
    <col min="15" max="15" width="3.59765625" customWidth="1"/>
    <col min="16" max="16" width="45.59765625" customWidth="1"/>
    <col min="17" max="17" width="3.59765625" customWidth="1"/>
    <col min="18" max="18" width="46.09765625" customWidth="1"/>
    <col min="19" max="19" width="3.59765625" customWidth="1"/>
    <col min="20" max="20" width="47.59765625" style="8" customWidth="1"/>
    <col min="21" max="21" width="3.59765625" customWidth="1"/>
    <col min="22" max="22" width="47.59765625" customWidth="1"/>
    <col min="23" max="23" width="3.59765625" customWidth="1"/>
    <col min="24" max="24" width="46.09765625" customWidth="1"/>
    <col min="25" max="25" width="3.59765625" customWidth="1"/>
    <col min="26" max="26" width="46.09765625" customWidth="1"/>
    <col min="27" max="27" width="3.59765625" customWidth="1"/>
    <col min="28" max="28" width="46.09765625" customWidth="1"/>
    <col min="29" max="29" width="3.59765625" customWidth="1"/>
    <col min="30" max="30" width="45.59765625" customWidth="1"/>
    <col min="31" max="31" width="3.59765625" customWidth="1"/>
    <col min="32" max="32" width="50.59765625" customWidth="1"/>
    <col min="33" max="33" width="3.59765625" customWidth="1"/>
  </cols>
  <sheetData>
    <row r="1" spans="1:34" s="258" customFormat="1" ht="15.75" customHeight="1" x14ac:dyDescent="0.25">
      <c r="A1" s="480" t="s">
        <v>247</v>
      </c>
      <c r="B1" s="480"/>
      <c r="C1" s="480"/>
      <c r="E1" s="480" t="s">
        <v>247</v>
      </c>
      <c r="F1" s="480"/>
      <c r="G1" s="480"/>
      <c r="H1" s="480"/>
      <c r="J1" s="480" t="s">
        <v>247</v>
      </c>
      <c r="K1" s="480"/>
      <c r="L1" s="480"/>
      <c r="M1" s="480"/>
      <c r="N1" s="480"/>
      <c r="P1" s="257" t="s">
        <v>247</v>
      </c>
      <c r="R1" s="257" t="s">
        <v>247</v>
      </c>
      <c r="T1" s="257" t="s">
        <v>247</v>
      </c>
      <c r="V1" s="257" t="s">
        <v>247</v>
      </c>
      <c r="X1" s="257" t="s">
        <v>247</v>
      </c>
      <c r="Z1" s="257" t="s">
        <v>247</v>
      </c>
      <c r="AB1" s="257" t="s">
        <v>247</v>
      </c>
      <c r="AD1" s="259" t="s">
        <v>247</v>
      </c>
      <c r="AF1" s="259" t="s">
        <v>247</v>
      </c>
    </row>
    <row r="2" spans="1:34" s="258" customFormat="1" ht="14.25" customHeight="1" x14ac:dyDescent="0.25">
      <c r="A2" s="480" t="s">
        <v>250</v>
      </c>
      <c r="B2" s="480"/>
      <c r="C2" s="480"/>
      <c r="E2" s="480" t="s">
        <v>250</v>
      </c>
      <c r="F2" s="480"/>
      <c r="G2" s="480"/>
      <c r="H2" s="480"/>
      <c r="J2" s="480" t="s">
        <v>130</v>
      </c>
      <c r="K2" s="480"/>
      <c r="L2" s="480"/>
      <c r="M2" s="480"/>
      <c r="N2" s="480"/>
      <c r="P2" s="257" t="s">
        <v>130</v>
      </c>
      <c r="R2" s="257" t="s">
        <v>130</v>
      </c>
      <c r="T2" s="257" t="s">
        <v>130</v>
      </c>
      <c r="V2" s="257" t="s">
        <v>130</v>
      </c>
      <c r="X2" s="257" t="s">
        <v>130</v>
      </c>
      <c r="Z2" s="257" t="s">
        <v>130</v>
      </c>
      <c r="AB2" s="257" t="s">
        <v>130</v>
      </c>
      <c r="AD2" s="259" t="s">
        <v>290</v>
      </c>
      <c r="AF2" s="259"/>
    </row>
    <row r="3" spans="1:34" s="258" customFormat="1" ht="13.8" x14ac:dyDescent="0.25">
      <c r="A3" s="260"/>
      <c r="B3" s="471" t="b">
        <v>0</v>
      </c>
      <c r="C3" s="471"/>
      <c r="E3" s="261" t="b">
        <v>0</v>
      </c>
      <c r="G3" s="472"/>
      <c r="H3" s="472"/>
      <c r="J3" s="261" t="b">
        <v>0</v>
      </c>
      <c r="L3" s="262"/>
      <c r="M3" s="262"/>
      <c r="P3" s="261" t="b">
        <v>0</v>
      </c>
      <c r="R3" s="261" t="b">
        <v>0</v>
      </c>
      <c r="T3" s="267" t="b">
        <v>0</v>
      </c>
      <c r="V3" s="267" t="b">
        <v>0</v>
      </c>
      <c r="X3" s="267" t="b">
        <v>0</v>
      </c>
      <c r="Z3" s="267" t="b">
        <v>0</v>
      </c>
      <c r="AB3" s="267" t="b">
        <v>0</v>
      </c>
      <c r="AD3" s="261" t="b">
        <v>0</v>
      </c>
      <c r="AF3" s="261" t="b">
        <v>0</v>
      </c>
    </row>
    <row r="4" spans="1:34" ht="13.8" x14ac:dyDescent="0.25">
      <c r="A4" s="263"/>
      <c r="B4" s="473" t="s">
        <v>269</v>
      </c>
      <c r="C4" s="474"/>
      <c r="E4" s="475" t="s">
        <v>270</v>
      </c>
      <c r="F4" s="476"/>
      <c r="G4" s="476"/>
      <c r="H4" s="476"/>
      <c r="J4" s="477" t="s">
        <v>273</v>
      </c>
      <c r="K4" s="478"/>
      <c r="L4" s="478"/>
      <c r="M4" s="478"/>
      <c r="N4" s="479"/>
      <c r="O4" s="264"/>
      <c r="P4" s="311" t="s">
        <v>188</v>
      </c>
      <c r="Q4" s="312"/>
      <c r="R4" s="311" t="s">
        <v>274</v>
      </c>
      <c r="S4" s="264"/>
      <c r="T4" s="311" t="s">
        <v>275</v>
      </c>
      <c r="U4" s="264"/>
      <c r="V4" s="311" t="s">
        <v>281</v>
      </c>
      <c r="W4" s="264"/>
      <c r="X4" s="311" t="s">
        <v>282</v>
      </c>
      <c r="Y4" s="264"/>
      <c r="Z4" s="311" t="s">
        <v>285</v>
      </c>
      <c r="AA4" s="264"/>
      <c r="AB4" s="311" t="s">
        <v>286</v>
      </c>
      <c r="AD4" s="311" t="s">
        <v>286</v>
      </c>
      <c r="AF4" s="339"/>
      <c r="AH4" s="258"/>
    </row>
    <row r="5" spans="1:34" ht="15.75" customHeight="1" x14ac:dyDescent="0.25">
      <c r="A5" s="453" t="s">
        <v>349</v>
      </c>
      <c r="B5" s="454"/>
      <c r="C5" s="455"/>
      <c r="E5" s="462" t="s">
        <v>271</v>
      </c>
      <c r="F5" s="463"/>
      <c r="G5" s="463"/>
      <c r="H5" s="464"/>
      <c r="J5" s="447" t="s">
        <v>350</v>
      </c>
      <c r="K5" s="448"/>
      <c r="L5" s="448"/>
      <c r="M5" s="448"/>
      <c r="N5" s="449"/>
      <c r="O5" s="265"/>
      <c r="P5" s="444" t="s">
        <v>276</v>
      </c>
      <c r="Q5" s="313"/>
      <c r="R5" s="444" t="s">
        <v>351</v>
      </c>
      <c r="S5" s="265"/>
      <c r="T5" s="444" t="s">
        <v>352</v>
      </c>
      <c r="U5" s="265"/>
      <c r="V5" s="444" t="s">
        <v>353</v>
      </c>
      <c r="W5" s="265"/>
      <c r="X5" s="444" t="s">
        <v>283</v>
      </c>
      <c r="Y5" s="265"/>
      <c r="Z5" s="444" t="s">
        <v>284</v>
      </c>
      <c r="AA5" s="265"/>
      <c r="AB5" s="444" t="s">
        <v>289</v>
      </c>
      <c r="AD5" s="438" t="s">
        <v>291</v>
      </c>
      <c r="AF5" s="441"/>
      <c r="AH5" s="258"/>
    </row>
    <row r="6" spans="1:34" ht="15.75" customHeight="1" x14ac:dyDescent="0.25">
      <c r="A6" s="456"/>
      <c r="B6" s="457"/>
      <c r="C6" s="458"/>
      <c r="E6" s="465"/>
      <c r="F6" s="466"/>
      <c r="G6" s="466"/>
      <c r="H6" s="467"/>
      <c r="J6" s="450"/>
      <c r="K6" s="451"/>
      <c r="L6" s="451"/>
      <c r="M6" s="451"/>
      <c r="N6" s="452"/>
      <c r="O6" s="265"/>
      <c r="P6" s="445"/>
      <c r="Q6" s="313"/>
      <c r="R6" s="445"/>
      <c r="S6" s="265"/>
      <c r="T6" s="445"/>
      <c r="U6" s="265"/>
      <c r="V6" s="445"/>
      <c r="W6" s="265"/>
      <c r="X6" s="445"/>
      <c r="Y6" s="265"/>
      <c r="Z6" s="445"/>
      <c r="AA6" s="265"/>
      <c r="AB6" s="445"/>
      <c r="AD6" s="439"/>
      <c r="AF6" s="442"/>
      <c r="AH6" s="258"/>
    </row>
    <row r="7" spans="1:34" ht="13.8" x14ac:dyDescent="0.25">
      <c r="A7" s="456"/>
      <c r="B7" s="457"/>
      <c r="C7" s="458"/>
      <c r="E7" s="465"/>
      <c r="F7" s="466"/>
      <c r="G7" s="466"/>
      <c r="H7" s="467"/>
      <c r="J7" s="450"/>
      <c r="K7" s="451"/>
      <c r="L7" s="451"/>
      <c r="M7" s="451"/>
      <c r="N7" s="452"/>
      <c r="O7" s="265"/>
      <c r="P7" s="445"/>
      <c r="Q7" s="313"/>
      <c r="R7" s="445"/>
      <c r="S7" s="265"/>
      <c r="T7" s="445"/>
      <c r="U7" s="265"/>
      <c r="V7" s="445"/>
      <c r="W7" s="265"/>
      <c r="X7" s="445"/>
      <c r="Y7" s="265"/>
      <c r="Z7" s="445"/>
      <c r="AA7" s="265"/>
      <c r="AB7" s="445"/>
      <c r="AD7" s="439"/>
      <c r="AF7" s="442"/>
      <c r="AH7" s="258"/>
    </row>
    <row r="8" spans="1:34" ht="13.8" x14ac:dyDescent="0.25">
      <c r="A8" s="456"/>
      <c r="B8" s="457"/>
      <c r="C8" s="458"/>
      <c r="E8" s="465"/>
      <c r="F8" s="466"/>
      <c r="G8" s="466"/>
      <c r="H8" s="467"/>
      <c r="J8" s="450"/>
      <c r="K8" s="451"/>
      <c r="L8" s="451"/>
      <c r="M8" s="451"/>
      <c r="N8" s="452"/>
      <c r="O8" s="265"/>
      <c r="P8" s="445"/>
      <c r="Q8" s="313"/>
      <c r="R8" s="445"/>
      <c r="S8" s="265"/>
      <c r="T8" s="445"/>
      <c r="U8" s="265"/>
      <c r="V8" s="445"/>
      <c r="W8" s="265"/>
      <c r="X8" s="445"/>
      <c r="Y8" s="265"/>
      <c r="Z8" s="445"/>
      <c r="AA8" s="265"/>
      <c r="AB8" s="445"/>
      <c r="AD8" s="439"/>
      <c r="AF8" s="442"/>
      <c r="AH8" s="258"/>
    </row>
    <row r="9" spans="1:34" ht="13.8" x14ac:dyDescent="0.25">
      <c r="A9" s="456"/>
      <c r="B9" s="457"/>
      <c r="C9" s="458"/>
      <c r="E9" s="465"/>
      <c r="F9" s="466"/>
      <c r="G9" s="466"/>
      <c r="H9" s="467"/>
      <c r="J9" s="450"/>
      <c r="K9" s="451"/>
      <c r="L9" s="451"/>
      <c r="M9" s="451"/>
      <c r="N9" s="452"/>
      <c r="O9" s="265"/>
      <c r="P9" s="445"/>
      <c r="Q9" s="313"/>
      <c r="R9" s="445"/>
      <c r="S9" s="265"/>
      <c r="T9" s="445"/>
      <c r="U9" s="265"/>
      <c r="V9" s="445"/>
      <c r="W9" s="265"/>
      <c r="X9" s="445"/>
      <c r="Y9" s="265"/>
      <c r="Z9" s="445"/>
      <c r="AA9" s="265"/>
      <c r="AB9" s="445"/>
      <c r="AD9" s="439"/>
      <c r="AF9" s="442"/>
      <c r="AH9" s="258"/>
    </row>
    <row r="10" spans="1:34" ht="13.8" x14ac:dyDescent="0.25">
      <c r="A10" s="456"/>
      <c r="B10" s="457"/>
      <c r="C10" s="458"/>
      <c r="E10" s="465"/>
      <c r="F10" s="466"/>
      <c r="G10" s="466"/>
      <c r="H10" s="467"/>
      <c r="J10" s="450"/>
      <c r="K10" s="451"/>
      <c r="L10" s="451"/>
      <c r="M10" s="451"/>
      <c r="N10" s="452"/>
      <c r="P10" s="445"/>
      <c r="Q10" s="8"/>
      <c r="R10" s="445"/>
      <c r="T10" s="445"/>
      <c r="V10" s="445"/>
      <c r="X10" s="445"/>
      <c r="Z10" s="445"/>
      <c r="AB10" s="445"/>
      <c r="AD10" s="439"/>
      <c r="AF10" s="442"/>
      <c r="AH10" s="258"/>
    </row>
    <row r="11" spans="1:34" ht="13.8" x14ac:dyDescent="0.25">
      <c r="A11" s="456"/>
      <c r="B11" s="457"/>
      <c r="C11" s="458"/>
      <c r="E11" s="465"/>
      <c r="F11" s="466"/>
      <c r="G11" s="466"/>
      <c r="H11" s="467"/>
      <c r="J11" s="450"/>
      <c r="K11" s="451"/>
      <c r="L11" s="451"/>
      <c r="M11" s="451"/>
      <c r="N11" s="452"/>
      <c r="P11" s="445"/>
      <c r="Q11" s="8"/>
      <c r="R11" s="445"/>
      <c r="T11" s="445"/>
      <c r="V11" s="445"/>
      <c r="X11" s="445"/>
      <c r="Z11" s="445"/>
      <c r="AB11" s="445"/>
      <c r="AD11" s="439"/>
      <c r="AF11" s="442"/>
      <c r="AH11" s="258"/>
    </row>
    <row r="12" spans="1:34" ht="15" customHeight="1" x14ac:dyDescent="0.25">
      <c r="A12" s="456"/>
      <c r="B12" s="457"/>
      <c r="C12" s="458"/>
      <c r="E12" s="465"/>
      <c r="F12" s="466"/>
      <c r="G12" s="466"/>
      <c r="H12" s="467"/>
      <c r="J12" s="450"/>
      <c r="K12" s="451"/>
      <c r="L12" s="451"/>
      <c r="M12" s="451"/>
      <c r="N12" s="452"/>
      <c r="P12" s="445"/>
      <c r="Q12" s="8"/>
      <c r="R12" s="445"/>
      <c r="T12" s="445"/>
      <c r="V12" s="445"/>
      <c r="X12" s="445"/>
      <c r="Z12" s="445"/>
      <c r="AB12" s="445"/>
      <c r="AD12" s="439"/>
      <c r="AF12" s="442"/>
      <c r="AH12" s="258"/>
    </row>
    <row r="13" spans="1:34" ht="13.8" x14ac:dyDescent="0.25">
      <c r="A13" s="456"/>
      <c r="B13" s="457"/>
      <c r="C13" s="458"/>
      <c r="E13" s="465"/>
      <c r="F13" s="466"/>
      <c r="G13" s="466"/>
      <c r="H13" s="467"/>
      <c r="J13" s="450"/>
      <c r="K13" s="451"/>
      <c r="L13" s="451"/>
      <c r="M13" s="451"/>
      <c r="N13" s="452"/>
      <c r="O13" s="264"/>
      <c r="P13" s="445"/>
      <c r="Q13" s="312"/>
      <c r="R13" s="445"/>
      <c r="S13" s="264"/>
      <c r="T13" s="445"/>
      <c r="U13" s="264"/>
      <c r="V13" s="445"/>
      <c r="W13" s="264"/>
      <c r="X13" s="445"/>
      <c r="Y13" s="264"/>
      <c r="Z13" s="445"/>
      <c r="AA13" s="264"/>
      <c r="AB13" s="445"/>
      <c r="AC13" s="264"/>
      <c r="AD13" s="439"/>
      <c r="AE13" s="264"/>
      <c r="AF13" s="442"/>
      <c r="AG13" s="264"/>
      <c r="AH13" s="258"/>
    </row>
    <row r="14" spans="1:34" ht="13.8" x14ac:dyDescent="0.25">
      <c r="A14" s="456"/>
      <c r="B14" s="457"/>
      <c r="C14" s="458"/>
      <c r="E14" s="465"/>
      <c r="F14" s="466"/>
      <c r="G14" s="466"/>
      <c r="H14" s="467"/>
      <c r="J14" s="450"/>
      <c r="K14" s="451"/>
      <c r="L14" s="451"/>
      <c r="M14" s="451"/>
      <c r="N14" s="452"/>
      <c r="P14" s="445"/>
      <c r="Q14" s="8"/>
      <c r="R14" s="445"/>
      <c r="T14" s="445"/>
      <c r="V14" s="445"/>
      <c r="X14" s="445"/>
      <c r="Z14" s="445"/>
      <c r="AB14" s="445"/>
      <c r="AD14" s="439"/>
      <c r="AF14" s="442"/>
      <c r="AH14" s="258"/>
    </row>
    <row r="15" spans="1:34" ht="13.8" x14ac:dyDescent="0.25">
      <c r="A15" s="456"/>
      <c r="B15" s="457"/>
      <c r="C15" s="458"/>
      <c r="E15" s="465"/>
      <c r="F15" s="466"/>
      <c r="G15" s="466"/>
      <c r="H15" s="467"/>
      <c r="J15" s="450"/>
      <c r="K15" s="451"/>
      <c r="L15" s="451"/>
      <c r="M15" s="451"/>
      <c r="N15" s="452"/>
      <c r="P15" s="445"/>
      <c r="Q15" s="8"/>
      <c r="R15" s="445"/>
      <c r="T15" s="445"/>
      <c r="V15" s="445"/>
      <c r="X15" s="445"/>
      <c r="Z15" s="445"/>
      <c r="AB15" s="445"/>
      <c r="AD15" s="439"/>
      <c r="AF15" s="442"/>
      <c r="AH15" s="258"/>
    </row>
    <row r="16" spans="1:34" ht="15.75" customHeight="1" x14ac:dyDescent="0.25">
      <c r="A16" s="456"/>
      <c r="B16" s="457"/>
      <c r="C16" s="458"/>
      <c r="E16" s="465"/>
      <c r="F16" s="466"/>
      <c r="G16" s="466"/>
      <c r="H16" s="467"/>
      <c r="J16" s="450"/>
      <c r="K16" s="451"/>
      <c r="L16" s="451"/>
      <c r="M16" s="451"/>
      <c r="N16" s="452"/>
      <c r="P16" s="445"/>
      <c r="Q16" s="8"/>
      <c r="R16" s="445"/>
      <c r="T16" s="445"/>
      <c r="V16" s="445"/>
      <c r="X16" s="445"/>
      <c r="Z16" s="445"/>
      <c r="AB16" s="445"/>
      <c r="AD16" s="439"/>
      <c r="AF16" s="442"/>
      <c r="AH16" s="258"/>
    </row>
    <row r="17" spans="1:34" ht="18" customHeight="1" x14ac:dyDescent="0.25">
      <c r="A17" s="456"/>
      <c r="B17" s="457"/>
      <c r="C17" s="458"/>
      <c r="E17" s="465"/>
      <c r="F17" s="466"/>
      <c r="G17" s="466"/>
      <c r="H17" s="467"/>
      <c r="J17" s="450"/>
      <c r="K17" s="451"/>
      <c r="L17" s="451"/>
      <c r="M17" s="451"/>
      <c r="N17" s="452"/>
      <c r="P17" s="445"/>
      <c r="Q17" s="8"/>
      <c r="R17" s="445"/>
      <c r="T17" s="445"/>
      <c r="V17" s="445"/>
      <c r="X17" s="445"/>
      <c r="Z17" s="445"/>
      <c r="AB17" s="445"/>
      <c r="AD17" s="439"/>
      <c r="AF17" s="442"/>
      <c r="AH17" s="258"/>
    </row>
    <row r="18" spans="1:34" ht="15.75" customHeight="1" x14ac:dyDescent="0.25">
      <c r="A18" s="456"/>
      <c r="B18" s="457"/>
      <c r="C18" s="458"/>
      <c r="E18" s="465"/>
      <c r="F18" s="466"/>
      <c r="G18" s="466"/>
      <c r="H18" s="467"/>
      <c r="J18" s="450"/>
      <c r="K18" s="451"/>
      <c r="L18" s="451"/>
      <c r="M18" s="451"/>
      <c r="N18" s="452"/>
      <c r="P18" s="445"/>
      <c r="Q18" s="8"/>
      <c r="R18" s="445"/>
      <c r="T18" s="445"/>
      <c r="V18" s="445"/>
      <c r="X18" s="445"/>
      <c r="Z18" s="445"/>
      <c r="AB18" s="445"/>
      <c r="AD18" s="439"/>
      <c r="AF18" s="442"/>
      <c r="AH18" s="258"/>
    </row>
    <row r="19" spans="1:34" ht="15.75" customHeight="1" x14ac:dyDescent="0.25">
      <c r="A19" s="456"/>
      <c r="B19" s="457"/>
      <c r="C19" s="458"/>
      <c r="E19" s="465"/>
      <c r="F19" s="466"/>
      <c r="G19" s="466"/>
      <c r="H19" s="467"/>
      <c r="J19" s="450"/>
      <c r="K19" s="451"/>
      <c r="L19" s="451"/>
      <c r="M19" s="451"/>
      <c r="N19" s="452"/>
      <c r="P19" s="445"/>
      <c r="Q19" s="8"/>
      <c r="R19" s="445"/>
      <c r="T19" s="445"/>
      <c r="V19" s="445"/>
      <c r="X19" s="445"/>
      <c r="Z19" s="445"/>
      <c r="AB19" s="445"/>
      <c r="AD19" s="439"/>
      <c r="AF19" s="442"/>
      <c r="AH19" s="258"/>
    </row>
    <row r="20" spans="1:34" ht="15.75" customHeight="1" x14ac:dyDescent="0.25">
      <c r="A20" s="456"/>
      <c r="B20" s="457"/>
      <c r="C20" s="458"/>
      <c r="E20" s="465"/>
      <c r="F20" s="466"/>
      <c r="G20" s="466"/>
      <c r="H20" s="467"/>
      <c r="J20" s="450"/>
      <c r="K20" s="451"/>
      <c r="L20" s="451"/>
      <c r="M20" s="451"/>
      <c r="N20" s="452"/>
      <c r="P20" s="445"/>
      <c r="Q20" s="8"/>
      <c r="R20" s="445"/>
      <c r="T20" s="445"/>
      <c r="V20" s="445"/>
      <c r="X20" s="445"/>
      <c r="Z20" s="445"/>
      <c r="AB20" s="445"/>
      <c r="AD20" s="439"/>
      <c r="AF20" s="442"/>
      <c r="AH20" s="258"/>
    </row>
    <row r="21" spans="1:34" ht="15.75" customHeight="1" x14ac:dyDescent="0.25">
      <c r="A21" s="456"/>
      <c r="B21" s="457"/>
      <c r="C21" s="458"/>
      <c r="E21" s="465"/>
      <c r="F21" s="466"/>
      <c r="G21" s="466"/>
      <c r="H21" s="467"/>
      <c r="J21" s="450"/>
      <c r="K21" s="451"/>
      <c r="L21" s="451"/>
      <c r="M21" s="451"/>
      <c r="N21" s="452"/>
      <c r="P21" s="445"/>
      <c r="Q21" s="8"/>
      <c r="R21" s="445"/>
      <c r="T21" s="445"/>
      <c r="V21" s="445"/>
      <c r="X21" s="445"/>
      <c r="Z21" s="445"/>
      <c r="AB21" s="445"/>
      <c r="AD21" s="439"/>
      <c r="AF21" s="442"/>
      <c r="AH21" s="258"/>
    </row>
    <row r="22" spans="1:34" ht="15" customHeight="1" x14ac:dyDescent="0.25">
      <c r="A22" s="456"/>
      <c r="B22" s="457"/>
      <c r="C22" s="458"/>
      <c r="E22" s="465"/>
      <c r="F22" s="466"/>
      <c r="G22" s="466"/>
      <c r="H22" s="467"/>
      <c r="J22" s="450"/>
      <c r="K22" s="451"/>
      <c r="L22" s="451"/>
      <c r="M22" s="451"/>
      <c r="N22" s="452"/>
      <c r="P22" s="445"/>
      <c r="Q22" s="8"/>
      <c r="R22" s="445"/>
      <c r="T22" s="445"/>
      <c r="V22" s="445"/>
      <c r="X22" s="445"/>
      <c r="Z22" s="445"/>
      <c r="AB22" s="445"/>
      <c r="AD22" s="439"/>
      <c r="AF22" s="442"/>
      <c r="AH22" s="258"/>
    </row>
    <row r="23" spans="1:34" ht="15.75" customHeight="1" x14ac:dyDescent="0.25">
      <c r="A23" s="456"/>
      <c r="B23" s="457"/>
      <c r="C23" s="458"/>
      <c r="E23" s="465"/>
      <c r="F23" s="466"/>
      <c r="G23" s="466"/>
      <c r="H23" s="467"/>
      <c r="J23" s="450"/>
      <c r="K23" s="451"/>
      <c r="L23" s="451"/>
      <c r="M23" s="451"/>
      <c r="N23" s="452"/>
      <c r="O23" s="265"/>
      <c r="P23" s="445"/>
      <c r="Q23" s="313"/>
      <c r="R23" s="445"/>
      <c r="S23" s="265"/>
      <c r="T23" s="445"/>
      <c r="U23" s="265"/>
      <c r="V23" s="445"/>
      <c r="W23" s="265"/>
      <c r="X23" s="445"/>
      <c r="Y23" s="265"/>
      <c r="Z23" s="445"/>
      <c r="AA23" s="265"/>
      <c r="AB23" s="445"/>
      <c r="AD23" s="439"/>
      <c r="AF23" s="442"/>
      <c r="AH23" s="258"/>
    </row>
    <row r="24" spans="1:34" ht="15" customHeight="1" x14ac:dyDescent="0.25">
      <c r="A24" s="456"/>
      <c r="B24" s="457"/>
      <c r="C24" s="458"/>
      <c r="E24" s="465"/>
      <c r="F24" s="466"/>
      <c r="G24" s="466"/>
      <c r="H24" s="467"/>
      <c r="J24" s="450"/>
      <c r="K24" s="451"/>
      <c r="L24" s="451"/>
      <c r="M24" s="451"/>
      <c r="N24" s="452"/>
      <c r="O24" s="265"/>
      <c r="P24" s="445"/>
      <c r="Q24" s="313"/>
      <c r="R24" s="445"/>
      <c r="S24" s="265"/>
      <c r="T24" s="445"/>
      <c r="U24" s="265"/>
      <c r="V24" s="445"/>
      <c r="W24" s="265"/>
      <c r="X24" s="445"/>
      <c r="Y24" s="265"/>
      <c r="Z24" s="445"/>
      <c r="AA24" s="265"/>
      <c r="AB24" s="445"/>
      <c r="AD24" s="439"/>
      <c r="AF24" s="442"/>
      <c r="AH24" s="258"/>
    </row>
    <row r="25" spans="1:34" ht="15.75" customHeight="1" x14ac:dyDescent="0.25">
      <c r="A25" s="456"/>
      <c r="B25" s="457"/>
      <c r="C25" s="458"/>
      <c r="E25" s="465"/>
      <c r="F25" s="466"/>
      <c r="G25" s="466"/>
      <c r="H25" s="467"/>
      <c r="J25" s="450"/>
      <c r="K25" s="451"/>
      <c r="L25" s="451"/>
      <c r="M25" s="451"/>
      <c r="N25" s="452"/>
      <c r="O25" s="265"/>
      <c r="P25" s="445"/>
      <c r="Q25" s="313"/>
      <c r="R25" s="445"/>
      <c r="S25" s="265"/>
      <c r="T25" s="445"/>
      <c r="U25" s="265"/>
      <c r="V25" s="445"/>
      <c r="W25" s="265"/>
      <c r="X25" s="445"/>
      <c r="Y25" s="265"/>
      <c r="Z25" s="445"/>
      <c r="AA25" s="265"/>
      <c r="AB25" s="445"/>
      <c r="AD25" s="439"/>
      <c r="AF25" s="442"/>
      <c r="AH25" s="258"/>
    </row>
    <row r="26" spans="1:34" ht="15.75" customHeight="1" x14ac:dyDescent="0.25">
      <c r="A26" s="456"/>
      <c r="B26" s="457"/>
      <c r="C26" s="458"/>
      <c r="E26" s="465"/>
      <c r="F26" s="466"/>
      <c r="G26" s="466"/>
      <c r="H26" s="467"/>
      <c r="J26" s="450"/>
      <c r="K26" s="451"/>
      <c r="L26" s="451"/>
      <c r="M26" s="451"/>
      <c r="N26" s="452"/>
      <c r="O26" s="265"/>
      <c r="P26" s="445"/>
      <c r="Q26" s="313"/>
      <c r="R26" s="445"/>
      <c r="S26" s="265"/>
      <c r="T26" s="445"/>
      <c r="U26" s="265"/>
      <c r="V26" s="445"/>
      <c r="W26" s="265"/>
      <c r="X26" s="445"/>
      <c r="Y26" s="265"/>
      <c r="Z26" s="445"/>
      <c r="AA26" s="265"/>
      <c r="AB26" s="445"/>
      <c r="AD26" s="439"/>
      <c r="AF26" s="442"/>
      <c r="AH26" s="258"/>
    </row>
    <row r="27" spans="1:34" ht="15" customHeight="1" x14ac:dyDescent="0.25">
      <c r="A27" s="456"/>
      <c r="B27" s="457"/>
      <c r="C27" s="458"/>
      <c r="E27" s="465"/>
      <c r="F27" s="466"/>
      <c r="G27" s="466"/>
      <c r="H27" s="467"/>
      <c r="J27" s="450"/>
      <c r="K27" s="451"/>
      <c r="L27" s="451"/>
      <c r="M27" s="451"/>
      <c r="N27" s="452"/>
      <c r="O27" s="265"/>
      <c r="P27" s="445"/>
      <c r="Q27" s="313"/>
      <c r="R27" s="445"/>
      <c r="S27" s="265"/>
      <c r="T27" s="445"/>
      <c r="U27" s="265"/>
      <c r="V27" s="445"/>
      <c r="W27" s="265"/>
      <c r="X27" s="445"/>
      <c r="Y27" s="265"/>
      <c r="Z27" s="445"/>
      <c r="AA27" s="265"/>
      <c r="AB27" s="445"/>
      <c r="AD27" s="439"/>
      <c r="AF27" s="442"/>
      <c r="AH27" s="258"/>
    </row>
    <row r="28" spans="1:34" ht="15.75" customHeight="1" x14ac:dyDescent="0.25">
      <c r="A28" s="456"/>
      <c r="B28" s="457"/>
      <c r="C28" s="458"/>
      <c r="E28" s="465"/>
      <c r="F28" s="466"/>
      <c r="G28" s="466"/>
      <c r="H28" s="467"/>
      <c r="J28" s="450"/>
      <c r="K28" s="451"/>
      <c r="L28" s="451"/>
      <c r="M28" s="451"/>
      <c r="N28" s="452"/>
      <c r="O28" s="265"/>
      <c r="P28" s="445"/>
      <c r="Q28" s="313"/>
      <c r="R28" s="445"/>
      <c r="S28" s="265"/>
      <c r="T28" s="445"/>
      <c r="U28" s="265"/>
      <c r="V28" s="445"/>
      <c r="W28" s="265"/>
      <c r="X28" s="445"/>
      <c r="Y28" s="265"/>
      <c r="Z28" s="445"/>
      <c r="AA28" s="265"/>
      <c r="AB28" s="445"/>
      <c r="AD28" s="439"/>
      <c r="AF28" s="442"/>
      <c r="AH28" s="258"/>
    </row>
    <row r="29" spans="1:34" ht="15.75" customHeight="1" x14ac:dyDescent="0.25">
      <c r="A29" s="459"/>
      <c r="B29" s="460"/>
      <c r="C29" s="461"/>
      <c r="E29" s="468"/>
      <c r="F29" s="469"/>
      <c r="G29" s="469"/>
      <c r="H29" s="470"/>
      <c r="J29" s="450"/>
      <c r="K29" s="451"/>
      <c r="L29" s="451"/>
      <c r="M29" s="451"/>
      <c r="N29" s="452"/>
      <c r="O29" s="265"/>
      <c r="P29" s="445"/>
      <c r="Q29" s="313"/>
      <c r="R29" s="445"/>
      <c r="S29" s="265"/>
      <c r="T29" s="445"/>
      <c r="U29" s="265"/>
      <c r="V29" s="445"/>
      <c r="W29" s="265"/>
      <c r="X29" s="445"/>
      <c r="Y29" s="265"/>
      <c r="Z29" s="445"/>
      <c r="AA29" s="265"/>
      <c r="AB29" s="445"/>
      <c r="AD29" s="439"/>
      <c r="AF29" s="442"/>
      <c r="AH29" s="258"/>
    </row>
    <row r="30" spans="1:34" ht="15.75" customHeight="1" x14ac:dyDescent="0.25">
      <c r="B30" s="273"/>
      <c r="C30" s="273"/>
      <c r="J30" s="450"/>
      <c r="K30" s="451"/>
      <c r="L30" s="451"/>
      <c r="M30" s="451"/>
      <c r="N30" s="452"/>
      <c r="O30" s="265"/>
      <c r="P30" s="445"/>
      <c r="Q30" s="313"/>
      <c r="R30" s="445"/>
      <c r="S30" s="265"/>
      <c r="T30" s="445"/>
      <c r="U30" s="265"/>
      <c r="V30" s="445"/>
      <c r="W30" s="265"/>
      <c r="X30" s="445"/>
      <c r="Y30" s="265"/>
      <c r="Z30" s="445"/>
      <c r="AA30" s="265"/>
      <c r="AB30" s="445"/>
      <c r="AD30" s="439"/>
      <c r="AF30" s="442"/>
      <c r="AH30" s="258"/>
    </row>
    <row r="31" spans="1:34" ht="15.75" customHeight="1" x14ac:dyDescent="0.25">
      <c r="B31" s="273"/>
      <c r="C31" s="273"/>
      <c r="J31" s="450"/>
      <c r="K31" s="451"/>
      <c r="L31" s="451"/>
      <c r="M31" s="451"/>
      <c r="N31" s="452"/>
      <c r="O31" s="265"/>
      <c r="P31" s="445"/>
      <c r="Q31" s="313"/>
      <c r="R31" s="445"/>
      <c r="S31" s="265"/>
      <c r="T31" s="445"/>
      <c r="U31" s="265"/>
      <c r="V31" s="445"/>
      <c r="W31" s="265"/>
      <c r="X31" s="445"/>
      <c r="Y31" s="265"/>
      <c r="Z31" s="445"/>
      <c r="AA31" s="265"/>
      <c r="AB31" s="445"/>
      <c r="AD31" s="439"/>
      <c r="AF31" s="442"/>
      <c r="AH31" s="258"/>
    </row>
    <row r="32" spans="1:34" ht="15.75" customHeight="1" x14ac:dyDescent="0.25">
      <c r="J32" s="450"/>
      <c r="K32" s="451"/>
      <c r="L32" s="451"/>
      <c r="M32" s="451"/>
      <c r="N32" s="452"/>
      <c r="O32" s="265"/>
      <c r="P32" s="445"/>
      <c r="Q32" s="313"/>
      <c r="R32" s="445"/>
      <c r="S32" s="265"/>
      <c r="T32" s="445"/>
      <c r="U32" s="265"/>
      <c r="V32" s="445"/>
      <c r="W32" s="265"/>
      <c r="X32" s="445"/>
      <c r="Y32" s="265"/>
      <c r="Z32" s="445"/>
      <c r="AA32" s="265"/>
      <c r="AB32" s="445"/>
      <c r="AD32" s="439"/>
      <c r="AF32" s="442"/>
      <c r="AH32" s="258"/>
    </row>
    <row r="33" spans="1:34" x14ac:dyDescent="0.25">
      <c r="A33" s="268"/>
      <c r="B33" s="268"/>
      <c r="C33" s="268"/>
      <c r="J33" s="270"/>
      <c r="K33" s="266"/>
      <c r="L33" s="266"/>
      <c r="M33" s="266"/>
      <c r="N33" s="271"/>
      <c r="O33" s="265"/>
      <c r="P33" s="445"/>
      <c r="Q33" s="313"/>
      <c r="R33" s="445"/>
      <c r="S33" s="265"/>
      <c r="T33" s="445"/>
      <c r="U33" s="265"/>
      <c r="V33" s="445"/>
      <c r="W33" s="265"/>
      <c r="X33" s="445"/>
      <c r="Y33" s="265"/>
      <c r="Z33" s="445"/>
      <c r="AA33" s="265"/>
      <c r="AB33" s="445"/>
      <c r="AD33" s="439"/>
      <c r="AF33" s="442"/>
      <c r="AH33" s="258"/>
    </row>
    <row r="34" spans="1:34" ht="15.75" customHeight="1" x14ac:dyDescent="0.25">
      <c r="A34" s="268"/>
      <c r="B34" s="268"/>
      <c r="C34" s="268"/>
      <c r="J34" s="274"/>
      <c r="K34" s="275"/>
      <c r="L34" s="275"/>
      <c r="M34" s="275"/>
      <c r="N34" s="276"/>
      <c r="O34" s="265"/>
      <c r="P34" s="446"/>
      <c r="Q34" s="313"/>
      <c r="R34" s="446"/>
      <c r="S34" s="265"/>
      <c r="T34" s="446"/>
      <c r="U34" s="265"/>
      <c r="V34" s="446"/>
      <c r="W34" s="265"/>
      <c r="X34" s="446"/>
      <c r="Y34" s="265"/>
      <c r="Z34" s="446"/>
      <c r="AA34" s="265"/>
      <c r="AB34" s="446"/>
      <c r="AD34" s="440"/>
      <c r="AF34" s="443"/>
      <c r="AH34" s="258"/>
    </row>
    <row r="35" spans="1:34" x14ac:dyDescent="0.25">
      <c r="A35" s="268"/>
      <c r="B35" s="268"/>
      <c r="C35" s="268"/>
      <c r="N35">
        <f>SUM(P35:T35)</f>
        <v>0</v>
      </c>
      <c r="P35">
        <f>IF(P$3=TRUE,1,0)</f>
        <v>0</v>
      </c>
      <c r="R35">
        <f>IF(R3=TRUE,2,0)</f>
        <v>0</v>
      </c>
      <c r="T35">
        <f>IF(T3=TRUE,3,0)</f>
        <v>0</v>
      </c>
      <c r="V35">
        <f>IF(V3=TRUE,4,0)</f>
        <v>0</v>
      </c>
      <c r="X35">
        <f>IF(X3=TRUE,5,0)</f>
        <v>0</v>
      </c>
      <c r="Z35">
        <f>IF(Z3=TRUE,6,0)</f>
        <v>0</v>
      </c>
      <c r="AB35">
        <f>IF(AB3=TRUE,7,0)</f>
        <v>0</v>
      </c>
      <c r="AD35">
        <f>IF(AD3=TRUE,1,0)</f>
        <v>0</v>
      </c>
      <c r="AH35" s="258"/>
    </row>
    <row r="36" spans="1:34" ht="15.75" customHeight="1" x14ac:dyDescent="0.25">
      <c r="A36" s="268"/>
      <c r="B36" s="268"/>
      <c r="C36" s="268"/>
      <c r="N36">
        <f>SUM(P36:AB36)</f>
        <v>0</v>
      </c>
      <c r="P36">
        <f>IF(P$3=TRUE,1,0)</f>
        <v>0</v>
      </c>
      <c r="R36">
        <f>IF(R$3=TRUE,1,0)</f>
        <v>0</v>
      </c>
      <c r="T36">
        <f>IF(T$3=TRUE,1,0)</f>
        <v>0</v>
      </c>
      <c r="V36">
        <f>IF(V$3=TRUE,1,0)</f>
        <v>0</v>
      </c>
      <c r="X36">
        <f>IF(X$3=TRUE,1,0)</f>
        <v>0</v>
      </c>
      <c r="Z36">
        <f>IF(Z$3=TRUE,1,0)</f>
        <v>0</v>
      </c>
      <c r="AB36">
        <f>IF(AB$3=TRUE,1,0)</f>
        <v>0</v>
      </c>
      <c r="AH36" s="258"/>
    </row>
    <row r="37" spans="1:34" ht="15.75" customHeight="1" x14ac:dyDescent="0.25">
      <c r="A37" s="277"/>
      <c r="B37" s="277"/>
      <c r="V37" s="325"/>
      <c r="X37" s="325"/>
      <c r="Z37" s="325"/>
      <c r="AB37" s="325"/>
      <c r="AH37" s="258"/>
    </row>
    <row r="38" spans="1:34" ht="15.75" customHeight="1" x14ac:dyDescent="0.25">
      <c r="V38" s="325"/>
      <c r="X38" s="325"/>
      <c r="Z38" s="325"/>
      <c r="AB38" s="325"/>
      <c r="AH38" s="258"/>
    </row>
    <row r="39" spans="1:34" ht="15.6" x14ac:dyDescent="0.3">
      <c r="E39" s="278"/>
      <c r="H39" s="279"/>
      <c r="V39" s="325"/>
      <c r="X39" s="325"/>
      <c r="Z39" s="325"/>
      <c r="AB39" s="325"/>
      <c r="AH39" s="258"/>
    </row>
    <row r="40" spans="1:34" x14ac:dyDescent="0.25">
      <c r="V40" s="325"/>
      <c r="X40" s="325"/>
      <c r="Z40" s="325"/>
      <c r="AB40" s="325"/>
      <c r="AH40" s="258"/>
    </row>
    <row r="41" spans="1:34" x14ac:dyDescent="0.25">
      <c r="V41" s="325"/>
      <c r="X41" s="325"/>
      <c r="Z41" s="325"/>
      <c r="AB41" s="325"/>
      <c r="AH41" s="258"/>
    </row>
    <row r="42" spans="1:34" x14ac:dyDescent="0.25">
      <c r="V42" s="325"/>
      <c r="X42" s="325"/>
      <c r="Z42" s="325"/>
      <c r="AB42" s="325"/>
      <c r="AH42" s="258"/>
    </row>
    <row r="43" spans="1:34" ht="15.75" customHeight="1" x14ac:dyDescent="0.25">
      <c r="V43" s="325"/>
      <c r="X43" s="325"/>
      <c r="Z43" s="325"/>
      <c r="AB43" s="325"/>
      <c r="AH43" s="258"/>
    </row>
    <row r="44" spans="1:34" ht="15" customHeight="1" x14ac:dyDescent="0.25">
      <c r="V44" s="325"/>
      <c r="X44" s="325"/>
      <c r="Z44" s="325"/>
      <c r="AB44" s="325"/>
      <c r="AH44" s="258"/>
    </row>
    <row r="45" spans="1:34" x14ac:dyDescent="0.25">
      <c r="V45" s="325"/>
      <c r="X45" s="325"/>
      <c r="Z45" s="325"/>
      <c r="AB45" s="325"/>
      <c r="AH45" s="258"/>
    </row>
    <row r="46" spans="1:34" x14ac:dyDescent="0.25">
      <c r="V46" s="325"/>
      <c r="X46" s="325"/>
      <c r="Z46" s="325"/>
      <c r="AB46" s="325"/>
      <c r="AH46" s="258"/>
    </row>
    <row r="47" spans="1:34" x14ac:dyDescent="0.25">
      <c r="V47" s="325"/>
      <c r="X47" s="325"/>
      <c r="Z47" s="325"/>
      <c r="AB47" s="325"/>
      <c r="AH47" s="258"/>
    </row>
    <row r="48" spans="1:34" x14ac:dyDescent="0.25">
      <c r="V48" s="325"/>
      <c r="X48" s="325"/>
      <c r="Z48" s="325"/>
      <c r="AB48" s="325"/>
      <c r="AH48" s="258"/>
    </row>
    <row r="49" spans="1:34" ht="15.75" customHeight="1" x14ac:dyDescent="0.25">
      <c r="V49" s="325"/>
      <c r="X49" s="325"/>
      <c r="Z49" s="325"/>
      <c r="AB49" s="325"/>
      <c r="AH49" s="258"/>
    </row>
    <row r="50" spans="1:34" x14ac:dyDescent="0.25">
      <c r="V50" s="325"/>
      <c r="X50" s="325"/>
      <c r="Z50" s="325"/>
      <c r="AB50" s="325"/>
      <c r="AH50" s="258"/>
    </row>
    <row r="53" spans="1:34" ht="15.75" customHeight="1" x14ac:dyDescent="0.25"/>
    <row r="54" spans="1:34" ht="15.75" customHeight="1" x14ac:dyDescent="0.25"/>
    <row r="55" spans="1:34" ht="15.75" customHeight="1" x14ac:dyDescent="0.25"/>
    <row r="57" spans="1:34" x14ac:dyDescent="0.25">
      <c r="A57" s="272" t="e">
        <f>#REF!</f>
        <v>#REF!</v>
      </c>
    </row>
    <row r="58" spans="1:34" x14ac:dyDescent="0.25">
      <c r="A58" s="272" t="e">
        <f>#REF!</f>
        <v>#REF!</v>
      </c>
    </row>
    <row r="59" spans="1:34" x14ac:dyDescent="0.25">
      <c r="A59" s="272" t="e">
        <f>#REF!</f>
        <v>#REF!</v>
      </c>
    </row>
    <row r="60" spans="1:34" x14ac:dyDescent="0.25">
      <c r="A60" s="272" t="e">
        <f>#REF!</f>
        <v>#REF!</v>
      </c>
    </row>
    <row r="61" spans="1:34" x14ac:dyDescent="0.25">
      <c r="A61" s="272">
        <v>2004.8</v>
      </c>
    </row>
    <row r="62" spans="1:34" x14ac:dyDescent="0.25">
      <c r="A62" s="272" t="e">
        <f t="shared" ref="A62:A69" si="0">#REF!</f>
        <v>#REF!</v>
      </c>
    </row>
    <row r="63" spans="1:34" x14ac:dyDescent="0.25">
      <c r="A63" s="272" t="e">
        <f t="shared" si="0"/>
        <v>#REF!</v>
      </c>
    </row>
    <row r="64" spans="1:34" x14ac:dyDescent="0.25">
      <c r="A64" s="272" t="e">
        <f t="shared" si="0"/>
        <v>#REF!</v>
      </c>
    </row>
    <row r="65" spans="1:1" x14ac:dyDescent="0.25">
      <c r="A65" s="272" t="e">
        <f t="shared" si="0"/>
        <v>#REF!</v>
      </c>
    </row>
    <row r="66" spans="1:1" x14ac:dyDescent="0.25">
      <c r="A66" s="272" t="e">
        <f t="shared" si="0"/>
        <v>#REF!</v>
      </c>
    </row>
    <row r="67" spans="1:1" x14ac:dyDescent="0.25">
      <c r="A67" s="272" t="e">
        <f t="shared" si="0"/>
        <v>#REF!</v>
      </c>
    </row>
    <row r="68" spans="1:1" x14ac:dyDescent="0.25">
      <c r="A68" s="272" t="e">
        <f t="shared" si="0"/>
        <v>#REF!</v>
      </c>
    </row>
    <row r="69" spans="1:1" x14ac:dyDescent="0.25">
      <c r="A69" s="272" t="e">
        <f t="shared" si="0"/>
        <v>#REF!</v>
      </c>
    </row>
    <row r="70" spans="1:1" x14ac:dyDescent="0.25">
      <c r="A70" s="272">
        <v>2012.5</v>
      </c>
    </row>
    <row r="71" spans="1:1" x14ac:dyDescent="0.25">
      <c r="A71" s="272" t="e">
        <f>#REF!</f>
        <v>#REF!</v>
      </c>
    </row>
    <row r="72" spans="1:1" x14ac:dyDescent="0.25">
      <c r="A72" s="272">
        <v>2013.5</v>
      </c>
    </row>
    <row r="73" spans="1:1" x14ac:dyDescent="0.25">
      <c r="A73" s="272" t="e">
        <f t="shared" ref="A73:A88" si="1">#REF!</f>
        <v>#REF!</v>
      </c>
    </row>
    <row r="74" spans="1:1" x14ac:dyDescent="0.25">
      <c r="A74" s="272" t="e">
        <f t="shared" si="1"/>
        <v>#REF!</v>
      </c>
    </row>
    <row r="75" spans="1:1" x14ac:dyDescent="0.25">
      <c r="A75" s="272" t="e">
        <f t="shared" si="1"/>
        <v>#REF!</v>
      </c>
    </row>
    <row r="76" spans="1:1" x14ac:dyDescent="0.25">
      <c r="A76" s="272" t="e">
        <f t="shared" si="1"/>
        <v>#REF!</v>
      </c>
    </row>
    <row r="77" spans="1:1" x14ac:dyDescent="0.25">
      <c r="A77" s="272" t="e">
        <f t="shared" si="1"/>
        <v>#REF!</v>
      </c>
    </row>
    <row r="78" spans="1:1" x14ac:dyDescent="0.25">
      <c r="A78" s="272" t="e">
        <f t="shared" si="1"/>
        <v>#REF!</v>
      </c>
    </row>
    <row r="79" spans="1:1" x14ac:dyDescent="0.25">
      <c r="A79" s="272" t="e">
        <f t="shared" si="1"/>
        <v>#REF!</v>
      </c>
    </row>
    <row r="80" spans="1:1" x14ac:dyDescent="0.25">
      <c r="A80" s="272" t="e">
        <f t="shared" si="1"/>
        <v>#REF!</v>
      </c>
    </row>
    <row r="81" spans="1:1" x14ac:dyDescent="0.25">
      <c r="A81" s="272" t="e">
        <f t="shared" si="1"/>
        <v>#REF!</v>
      </c>
    </row>
    <row r="82" spans="1:1" x14ac:dyDescent="0.25">
      <c r="A82" s="272" t="e">
        <f t="shared" si="1"/>
        <v>#REF!</v>
      </c>
    </row>
    <row r="83" spans="1:1" x14ac:dyDescent="0.25">
      <c r="A83" s="272" t="e">
        <f t="shared" si="1"/>
        <v>#REF!</v>
      </c>
    </row>
    <row r="84" spans="1:1" x14ac:dyDescent="0.25">
      <c r="A84" s="272" t="e">
        <f t="shared" si="1"/>
        <v>#REF!</v>
      </c>
    </row>
    <row r="85" spans="1:1" x14ac:dyDescent="0.25">
      <c r="A85" s="272" t="e">
        <f t="shared" si="1"/>
        <v>#REF!</v>
      </c>
    </row>
    <row r="86" spans="1:1" x14ac:dyDescent="0.25">
      <c r="A86" s="272" t="e">
        <f t="shared" si="1"/>
        <v>#REF!</v>
      </c>
    </row>
    <row r="87" spans="1:1" x14ac:dyDescent="0.25">
      <c r="A87" s="272" t="e">
        <f t="shared" si="1"/>
        <v>#REF!</v>
      </c>
    </row>
    <row r="88" spans="1:1" x14ac:dyDescent="0.25">
      <c r="A88" s="272" t="e">
        <f t="shared" si="1"/>
        <v>#REF!</v>
      </c>
    </row>
  </sheetData>
  <mergeCells count="23">
    <mergeCell ref="A1:C1"/>
    <mergeCell ref="E1:H1"/>
    <mergeCell ref="J1:N1"/>
    <mergeCell ref="A2:C2"/>
    <mergeCell ref="E2:H2"/>
    <mergeCell ref="J2:N2"/>
    <mergeCell ref="B3:C3"/>
    <mergeCell ref="G3:H3"/>
    <mergeCell ref="B4:C4"/>
    <mergeCell ref="E4:H4"/>
    <mergeCell ref="J4:N4"/>
    <mergeCell ref="T5:T34"/>
    <mergeCell ref="J5:N32"/>
    <mergeCell ref="P5:P34"/>
    <mergeCell ref="R5:R34"/>
    <mergeCell ref="A5:C29"/>
    <mergeCell ref="E5:H29"/>
    <mergeCell ref="AD5:AD34"/>
    <mergeCell ref="AF5:AF34"/>
    <mergeCell ref="V5:V34"/>
    <mergeCell ref="X5:X34"/>
    <mergeCell ref="AB5:AB34"/>
    <mergeCell ref="Z5:Z34"/>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S65"/>
  <sheetViews>
    <sheetView topLeftCell="N1" zoomScaleNormal="100" workbookViewId="0">
      <selection activeCell="O6" sqref="O6:O35"/>
    </sheetView>
  </sheetViews>
  <sheetFormatPr baseColWidth="10" defaultColWidth="11" defaultRowHeight="13.2" x14ac:dyDescent="0.25"/>
  <cols>
    <col min="1" max="1" width="5.69921875" style="280" customWidth="1"/>
    <col min="2" max="17" width="60.59765625" style="280" customWidth="1"/>
    <col min="18" max="18" width="11" style="280"/>
    <col min="19" max="19" width="28.19921875" style="280" customWidth="1"/>
    <col min="20" max="16384" width="11" style="280"/>
  </cols>
  <sheetData>
    <row r="1" spans="1:19" x14ac:dyDescent="0.25">
      <c r="B1" s="281">
        <v>1</v>
      </c>
      <c r="C1" s="281">
        <v>2</v>
      </c>
      <c r="D1" s="281">
        <v>3</v>
      </c>
      <c r="E1" s="281">
        <v>4</v>
      </c>
      <c r="F1" s="281">
        <v>5</v>
      </c>
      <c r="G1" s="281">
        <v>6</v>
      </c>
      <c r="H1" s="281">
        <v>10</v>
      </c>
      <c r="I1" s="281">
        <v>11</v>
      </c>
      <c r="J1" s="281">
        <v>12</v>
      </c>
      <c r="K1" s="281">
        <v>13</v>
      </c>
      <c r="L1" s="281">
        <v>14</v>
      </c>
      <c r="M1" s="281">
        <v>15</v>
      </c>
      <c r="N1" s="281">
        <v>16</v>
      </c>
      <c r="O1" s="281">
        <v>17</v>
      </c>
      <c r="P1" s="281">
        <v>18</v>
      </c>
      <c r="Q1" s="281">
        <v>19</v>
      </c>
      <c r="S1" s="282"/>
    </row>
    <row r="2" spans="1:19" s="283" customFormat="1" x14ac:dyDescent="0.25">
      <c r="B2" s="284" t="str">
        <f>'Info &amp; Navigation'!$B$6</f>
        <v>Allgemeine Info</v>
      </c>
      <c r="C2" s="284" t="str">
        <f>'Info &amp; Navigation'!$B$8</f>
        <v>Bedienungshilfen &amp; Navigation</v>
      </c>
      <c r="D2" s="284" t="str">
        <f>'Info &amp; Navigation'!B10</f>
        <v>Updates &amp; Programmdaten</v>
      </c>
      <c r="E2" s="285" t="str">
        <f>'Info &amp; Navigation'!$B$16</f>
        <v>Beitragsberechnung Ausgangsbetrieb</v>
      </c>
      <c r="F2" s="285" t="str">
        <f>'Info &amp; Navigation'!$B$18</f>
        <v>Beitragsberechnung Vergleichsbetrieb</v>
      </c>
      <c r="G2" s="285" t="str">
        <f>'Info &amp; Navigation'!$B$20</f>
        <v>Berechnung von Zu-/Verpachtungen etc.</v>
      </c>
      <c r="H2" s="285" t="str">
        <f>'Info &amp; Navigation'!$B$28</f>
        <v>Beiträge aus dem Einheitswert</v>
      </c>
      <c r="I2" s="285" t="str">
        <f>'Info &amp; Navigation'!$B$30</f>
        <v>Beiträge aus Nebentätigkeiten</v>
      </c>
      <c r="J2" s="285" t="str">
        <f>'Info &amp; Navigation'!$B$32</f>
        <v>Beitragsgrundlage und Beitragssatz</v>
      </c>
      <c r="K2" s="285" t="str">
        <f>'Info &amp; Navigation'!$B$34</f>
        <v>Info von Zu-/Verpachtungen etc.</v>
      </c>
      <c r="L2" s="285" t="str">
        <f>'Info &amp; Navigation'!$B$36</f>
        <v>Hauptberuflich beschäftigte Angehörige</v>
      </c>
      <c r="M2" s="285" t="str">
        <f>'Info &amp; Navigation'!$B$38</f>
        <v>Mindest-Beitragsgrundlage</v>
      </c>
      <c r="N2" s="285" t="str">
        <f>'Info &amp; Navigation'!$B$40</f>
        <v>Höchst-Beitragsgrundlage</v>
      </c>
      <c r="O2" s="285" t="str">
        <f>'Info &amp; Navigation'!$B$42</f>
        <v>Einheitswerthauptfeststellung 2023</v>
      </c>
      <c r="P2" s="285">
        <f>'Info &amp; Navigation'!$B$44</f>
        <v>0</v>
      </c>
      <c r="Q2" s="285">
        <f>'Info &amp; Navigation'!$B$46</f>
        <v>0</v>
      </c>
      <c r="S2" s="286" t="s">
        <v>252</v>
      </c>
    </row>
    <row r="3" spans="1:19" ht="15.75" customHeight="1" x14ac:dyDescent="0.25">
      <c r="A3" s="259">
        <f>COUNTIF(B3:AD3,TRUE)</f>
        <v>0</v>
      </c>
      <c r="B3" s="287" t="b">
        <v>0</v>
      </c>
      <c r="C3" s="287" t="b">
        <v>0</v>
      </c>
      <c r="D3" s="287" t="b">
        <v>0</v>
      </c>
      <c r="E3" s="287" t="b">
        <v>0</v>
      </c>
      <c r="F3" s="287" t="b">
        <v>0</v>
      </c>
      <c r="G3" s="287" t="b">
        <v>0</v>
      </c>
      <c r="H3" s="287" t="b">
        <v>0</v>
      </c>
      <c r="I3" s="287" t="b">
        <v>0</v>
      </c>
      <c r="J3" s="287" t="b">
        <v>0</v>
      </c>
      <c r="K3" s="287" t="b">
        <v>0</v>
      </c>
      <c r="L3" s="287" t="b">
        <v>0</v>
      </c>
      <c r="M3" s="287" t="b">
        <v>0</v>
      </c>
      <c r="N3" s="287" t="b">
        <v>0</v>
      </c>
      <c r="O3" s="287" t="b">
        <v>0</v>
      </c>
      <c r="P3" s="287"/>
      <c r="Q3" s="287"/>
      <c r="S3" s="485" t="s">
        <v>255</v>
      </c>
    </row>
    <row r="4" spans="1:19" x14ac:dyDescent="0.25">
      <c r="A4" s="288">
        <f>SUM(B4:AD4)</f>
        <v>0</v>
      </c>
      <c r="B4" s="287">
        <f>IF(B3=TRUE,B1,0)</f>
        <v>0</v>
      </c>
      <c r="C4" s="287">
        <f t="shared" ref="C4:Q4" si="0">IF(C3=TRUE,C1,0)</f>
        <v>0</v>
      </c>
      <c r="D4" s="287">
        <f t="shared" si="0"/>
        <v>0</v>
      </c>
      <c r="E4" s="287">
        <f t="shared" si="0"/>
        <v>0</v>
      </c>
      <c r="F4" s="287">
        <f t="shared" si="0"/>
        <v>0</v>
      </c>
      <c r="G4" s="287">
        <f t="shared" si="0"/>
        <v>0</v>
      </c>
      <c r="H4" s="287">
        <f t="shared" si="0"/>
        <v>0</v>
      </c>
      <c r="I4" s="287">
        <f t="shared" si="0"/>
        <v>0</v>
      </c>
      <c r="J4" s="287">
        <f t="shared" si="0"/>
        <v>0</v>
      </c>
      <c r="K4" s="287">
        <f t="shared" si="0"/>
        <v>0</v>
      </c>
      <c r="L4" s="287">
        <f t="shared" si="0"/>
        <v>0</v>
      </c>
      <c r="M4" s="287">
        <f t="shared" si="0"/>
        <v>0</v>
      </c>
      <c r="N4" s="287">
        <f t="shared" si="0"/>
        <v>0</v>
      </c>
      <c r="O4" s="287">
        <f t="shared" si="0"/>
        <v>0</v>
      </c>
      <c r="P4" s="287">
        <f t="shared" si="0"/>
        <v>0</v>
      </c>
      <c r="Q4" s="287">
        <f t="shared" si="0"/>
        <v>0</v>
      </c>
      <c r="S4" s="486"/>
    </row>
    <row r="5" spans="1:19" x14ac:dyDescent="0.25">
      <c r="A5" s="289">
        <f>SUM(B5:AD5)</f>
        <v>0</v>
      </c>
      <c r="B5" s="287">
        <f>B4</f>
        <v>0</v>
      </c>
      <c r="C5" s="287">
        <f>IF(B4&gt;0,0,C4)</f>
        <v>0</v>
      </c>
      <c r="D5" s="287">
        <f t="shared" ref="D5:Q5" si="1">IF(C4&gt;0,0,D4)</f>
        <v>0</v>
      </c>
      <c r="E5" s="287">
        <f t="shared" si="1"/>
        <v>0</v>
      </c>
      <c r="F5" s="287">
        <f t="shared" si="1"/>
        <v>0</v>
      </c>
      <c r="G5" s="287">
        <f t="shared" si="1"/>
        <v>0</v>
      </c>
      <c r="H5" s="287">
        <f t="shared" si="1"/>
        <v>0</v>
      </c>
      <c r="I5" s="287">
        <f t="shared" si="1"/>
        <v>0</v>
      </c>
      <c r="J5" s="287">
        <f t="shared" si="1"/>
        <v>0</v>
      </c>
      <c r="K5" s="287">
        <f t="shared" si="1"/>
        <v>0</v>
      </c>
      <c r="L5" s="287">
        <f t="shared" si="1"/>
        <v>0</v>
      </c>
      <c r="M5" s="287">
        <f t="shared" si="1"/>
        <v>0</v>
      </c>
      <c r="N5" s="287">
        <f t="shared" si="1"/>
        <v>0</v>
      </c>
      <c r="O5" s="287">
        <f t="shared" si="1"/>
        <v>0</v>
      </c>
      <c r="P5" s="287">
        <f t="shared" si="1"/>
        <v>0</v>
      </c>
      <c r="Q5" s="287">
        <f t="shared" si="1"/>
        <v>0</v>
      </c>
      <c r="S5" s="486"/>
    </row>
    <row r="6" spans="1:19" ht="15.75" customHeight="1" x14ac:dyDescent="0.25">
      <c r="B6" s="483" t="s">
        <v>354</v>
      </c>
      <c r="C6" s="483" t="s">
        <v>355</v>
      </c>
      <c r="D6" s="483" t="s">
        <v>253</v>
      </c>
      <c r="E6" s="483" t="s">
        <v>341</v>
      </c>
      <c r="F6" s="483" t="s">
        <v>343</v>
      </c>
      <c r="G6" s="484" t="s">
        <v>342</v>
      </c>
      <c r="H6" s="483" t="s">
        <v>356</v>
      </c>
      <c r="I6" s="483" t="s">
        <v>357</v>
      </c>
      <c r="J6" s="483" t="s">
        <v>345</v>
      </c>
      <c r="K6" s="483" t="s">
        <v>346</v>
      </c>
      <c r="L6" s="483" t="s">
        <v>358</v>
      </c>
      <c r="M6" s="483" t="s">
        <v>347</v>
      </c>
      <c r="N6" s="483" t="s">
        <v>348</v>
      </c>
      <c r="O6" s="483" t="s">
        <v>369</v>
      </c>
      <c r="P6" s="483"/>
      <c r="Q6" s="483"/>
      <c r="S6" s="486"/>
    </row>
    <row r="7" spans="1:19" x14ac:dyDescent="0.25">
      <c r="B7" s="481"/>
      <c r="C7" s="482"/>
      <c r="D7" s="482"/>
      <c r="E7" s="482"/>
      <c r="F7" s="482"/>
      <c r="G7" s="482"/>
      <c r="H7" s="482"/>
      <c r="I7" s="482"/>
      <c r="J7" s="481"/>
      <c r="K7" s="481"/>
      <c r="L7" s="481"/>
      <c r="M7" s="481"/>
      <c r="N7" s="481"/>
      <c r="O7" s="481"/>
      <c r="P7" s="481"/>
      <c r="Q7" s="481"/>
      <c r="S7" s="486"/>
    </row>
    <row r="8" spans="1:19" x14ac:dyDescent="0.25">
      <c r="B8" s="481"/>
      <c r="C8" s="482"/>
      <c r="D8" s="482"/>
      <c r="E8" s="482"/>
      <c r="F8" s="482"/>
      <c r="G8" s="482"/>
      <c r="H8" s="482"/>
      <c r="I8" s="482"/>
      <c r="J8" s="481"/>
      <c r="K8" s="481"/>
      <c r="L8" s="481"/>
      <c r="M8" s="481"/>
      <c r="N8" s="481"/>
      <c r="O8" s="481"/>
      <c r="P8" s="481"/>
      <c r="Q8" s="481"/>
      <c r="S8" s="486"/>
    </row>
    <row r="9" spans="1:19" x14ac:dyDescent="0.25">
      <c r="B9" s="481"/>
      <c r="C9" s="482"/>
      <c r="D9" s="482"/>
      <c r="E9" s="482"/>
      <c r="F9" s="482"/>
      <c r="G9" s="482"/>
      <c r="H9" s="482"/>
      <c r="I9" s="482"/>
      <c r="J9" s="481"/>
      <c r="K9" s="481"/>
      <c r="L9" s="481"/>
      <c r="M9" s="481"/>
      <c r="N9" s="481"/>
      <c r="O9" s="481"/>
      <c r="P9" s="481"/>
      <c r="Q9" s="481"/>
      <c r="S9" s="486"/>
    </row>
    <row r="10" spans="1:19" x14ac:dyDescent="0.25">
      <c r="B10" s="481"/>
      <c r="C10" s="482"/>
      <c r="D10" s="482"/>
      <c r="E10" s="482"/>
      <c r="F10" s="482"/>
      <c r="G10" s="482"/>
      <c r="H10" s="482"/>
      <c r="I10" s="482"/>
      <c r="J10" s="481"/>
      <c r="K10" s="481"/>
      <c r="L10" s="481"/>
      <c r="M10" s="481"/>
      <c r="N10" s="481"/>
      <c r="O10" s="481"/>
      <c r="P10" s="481"/>
      <c r="Q10" s="481"/>
      <c r="S10" s="486"/>
    </row>
    <row r="11" spans="1:19" x14ac:dyDescent="0.25">
      <c r="B11" s="481"/>
      <c r="C11" s="482"/>
      <c r="D11" s="482"/>
      <c r="E11" s="482"/>
      <c r="F11" s="482"/>
      <c r="G11" s="482"/>
      <c r="H11" s="482"/>
      <c r="I11" s="482"/>
      <c r="J11" s="481"/>
      <c r="K11" s="481"/>
      <c r="L11" s="481"/>
      <c r="M11" s="481"/>
      <c r="N11" s="481"/>
      <c r="O11" s="481"/>
      <c r="P11" s="481"/>
      <c r="Q11" s="481"/>
      <c r="S11" s="486"/>
    </row>
    <row r="12" spans="1:19" x14ac:dyDescent="0.25">
      <c r="B12" s="481"/>
      <c r="C12" s="482"/>
      <c r="D12" s="482"/>
      <c r="E12" s="482"/>
      <c r="F12" s="482"/>
      <c r="G12" s="482"/>
      <c r="H12" s="482"/>
      <c r="I12" s="482"/>
      <c r="J12" s="481"/>
      <c r="K12" s="481"/>
      <c r="L12" s="481"/>
      <c r="M12" s="481"/>
      <c r="N12" s="481"/>
      <c r="O12" s="481"/>
      <c r="P12" s="481"/>
      <c r="Q12" s="481"/>
      <c r="S12" s="486"/>
    </row>
    <row r="13" spans="1:19" x14ac:dyDescent="0.25">
      <c r="B13" s="481"/>
      <c r="C13" s="482"/>
      <c r="D13" s="482"/>
      <c r="E13" s="482"/>
      <c r="F13" s="482"/>
      <c r="G13" s="482"/>
      <c r="H13" s="482"/>
      <c r="I13" s="482"/>
      <c r="J13" s="481"/>
      <c r="K13" s="481"/>
      <c r="L13" s="481"/>
      <c r="M13" s="481"/>
      <c r="N13" s="481"/>
      <c r="O13" s="481"/>
      <c r="P13" s="481"/>
      <c r="Q13" s="481"/>
      <c r="S13" s="487"/>
    </row>
    <row r="14" spans="1:19" x14ac:dyDescent="0.25">
      <c r="B14" s="481"/>
      <c r="C14" s="482"/>
      <c r="D14" s="482"/>
      <c r="E14" s="482"/>
      <c r="F14" s="482"/>
      <c r="G14" s="482"/>
      <c r="H14" s="482"/>
      <c r="I14" s="482"/>
      <c r="J14" s="481"/>
      <c r="K14" s="481"/>
      <c r="L14" s="481"/>
      <c r="M14" s="481"/>
      <c r="N14" s="481"/>
      <c r="O14" s="481"/>
      <c r="P14" s="481"/>
      <c r="Q14" s="481"/>
    </row>
    <row r="15" spans="1:19" x14ac:dyDescent="0.25">
      <c r="B15" s="481"/>
      <c r="C15" s="482"/>
      <c r="D15" s="482"/>
      <c r="E15" s="482"/>
      <c r="F15" s="482"/>
      <c r="G15" s="482"/>
      <c r="H15" s="482"/>
      <c r="I15" s="482"/>
      <c r="J15" s="481"/>
      <c r="K15" s="481"/>
      <c r="L15" s="481"/>
      <c r="M15" s="481"/>
      <c r="N15" s="481"/>
      <c r="O15" s="481"/>
      <c r="P15" s="481"/>
      <c r="Q15" s="481"/>
    </row>
    <row r="16" spans="1:19" x14ac:dyDescent="0.25">
      <c r="B16" s="481"/>
      <c r="C16" s="482"/>
      <c r="D16" s="482"/>
      <c r="E16" s="482"/>
      <c r="F16" s="482"/>
      <c r="G16" s="482"/>
      <c r="H16" s="482"/>
      <c r="I16" s="482"/>
      <c r="J16" s="481"/>
      <c r="K16" s="481"/>
      <c r="L16" s="481"/>
      <c r="M16" s="481"/>
      <c r="N16" s="481"/>
      <c r="O16" s="481"/>
      <c r="P16" s="481"/>
      <c r="Q16" s="481"/>
    </row>
    <row r="17" spans="2:17" x14ac:dyDescent="0.25">
      <c r="B17" s="481"/>
      <c r="C17" s="482"/>
      <c r="D17" s="482"/>
      <c r="E17" s="482"/>
      <c r="F17" s="482"/>
      <c r="G17" s="482"/>
      <c r="H17" s="482"/>
      <c r="I17" s="482"/>
      <c r="J17" s="481"/>
      <c r="K17" s="481"/>
      <c r="L17" s="481"/>
      <c r="M17" s="481"/>
      <c r="N17" s="481"/>
      <c r="O17" s="481"/>
      <c r="P17" s="481"/>
      <c r="Q17" s="481"/>
    </row>
    <row r="18" spans="2:17" x14ac:dyDescent="0.25">
      <c r="B18" s="481"/>
      <c r="C18" s="482"/>
      <c r="D18" s="482"/>
      <c r="E18" s="482"/>
      <c r="F18" s="482"/>
      <c r="G18" s="482"/>
      <c r="H18" s="482"/>
      <c r="I18" s="482"/>
      <c r="J18" s="481"/>
      <c r="K18" s="481"/>
      <c r="L18" s="481"/>
      <c r="M18" s="481"/>
      <c r="N18" s="481"/>
      <c r="O18" s="481"/>
      <c r="P18" s="481"/>
      <c r="Q18" s="481"/>
    </row>
    <row r="19" spans="2:17" x14ac:dyDescent="0.25">
      <c r="B19" s="481"/>
      <c r="C19" s="482"/>
      <c r="D19" s="482"/>
      <c r="E19" s="482"/>
      <c r="F19" s="482"/>
      <c r="G19" s="482"/>
      <c r="H19" s="482"/>
      <c r="I19" s="482"/>
      <c r="J19" s="481"/>
      <c r="K19" s="481"/>
      <c r="L19" s="481"/>
      <c r="M19" s="481"/>
      <c r="N19" s="481"/>
      <c r="O19" s="481"/>
      <c r="P19" s="481"/>
      <c r="Q19" s="481"/>
    </row>
    <row r="20" spans="2:17" x14ac:dyDescent="0.25">
      <c r="B20" s="481"/>
      <c r="C20" s="482"/>
      <c r="D20" s="482"/>
      <c r="E20" s="482"/>
      <c r="F20" s="482"/>
      <c r="G20" s="482"/>
      <c r="H20" s="482"/>
      <c r="I20" s="482"/>
      <c r="J20" s="481"/>
      <c r="K20" s="481"/>
      <c r="L20" s="481"/>
      <c r="M20" s="481"/>
      <c r="N20" s="481"/>
      <c r="O20" s="481"/>
      <c r="P20" s="481"/>
      <c r="Q20" s="481"/>
    </row>
    <row r="21" spans="2:17" x14ac:dyDescent="0.25">
      <c r="B21" s="481"/>
      <c r="C21" s="482"/>
      <c r="D21" s="482"/>
      <c r="E21" s="482"/>
      <c r="F21" s="482"/>
      <c r="G21" s="482"/>
      <c r="H21" s="482"/>
      <c r="I21" s="482"/>
      <c r="J21" s="481"/>
      <c r="K21" s="481"/>
      <c r="L21" s="481"/>
      <c r="M21" s="481"/>
      <c r="N21" s="481"/>
      <c r="O21" s="481"/>
      <c r="P21" s="481"/>
      <c r="Q21" s="481"/>
    </row>
    <row r="22" spans="2:17" x14ac:dyDescent="0.25">
      <c r="B22" s="481"/>
      <c r="C22" s="482"/>
      <c r="D22" s="482"/>
      <c r="E22" s="482"/>
      <c r="F22" s="482"/>
      <c r="G22" s="482"/>
      <c r="H22" s="482"/>
      <c r="I22" s="482"/>
      <c r="J22" s="481"/>
      <c r="K22" s="481"/>
      <c r="L22" s="481"/>
      <c r="M22" s="481"/>
      <c r="N22" s="481"/>
      <c r="O22" s="481"/>
      <c r="P22" s="481"/>
      <c r="Q22" s="481"/>
    </row>
    <row r="23" spans="2:17" x14ac:dyDescent="0.25">
      <c r="B23" s="481"/>
      <c r="C23" s="482"/>
      <c r="D23" s="482"/>
      <c r="E23" s="482"/>
      <c r="F23" s="482"/>
      <c r="G23" s="482"/>
      <c r="H23" s="482"/>
      <c r="I23" s="482"/>
      <c r="J23" s="481"/>
      <c r="K23" s="481"/>
      <c r="L23" s="481"/>
      <c r="M23" s="481"/>
      <c r="N23" s="481"/>
      <c r="O23" s="481"/>
      <c r="P23" s="481"/>
      <c r="Q23" s="481"/>
    </row>
    <row r="24" spans="2:17" x14ac:dyDescent="0.25">
      <c r="B24" s="481"/>
      <c r="C24" s="482"/>
      <c r="D24" s="482"/>
      <c r="E24" s="482"/>
      <c r="F24" s="482"/>
      <c r="G24" s="482"/>
      <c r="H24" s="482"/>
      <c r="I24" s="482"/>
      <c r="J24" s="481"/>
      <c r="K24" s="481"/>
      <c r="L24" s="481"/>
      <c r="M24" s="481"/>
      <c r="N24" s="481"/>
      <c r="O24" s="481"/>
      <c r="P24" s="481"/>
      <c r="Q24" s="481"/>
    </row>
    <row r="25" spans="2:17" x14ac:dyDescent="0.25">
      <c r="B25" s="481"/>
      <c r="C25" s="482"/>
      <c r="D25" s="482"/>
      <c r="E25" s="482"/>
      <c r="F25" s="482"/>
      <c r="G25" s="482"/>
      <c r="H25" s="482"/>
      <c r="I25" s="482"/>
      <c r="J25" s="481"/>
      <c r="K25" s="481"/>
      <c r="L25" s="481"/>
      <c r="M25" s="481"/>
      <c r="N25" s="481"/>
      <c r="O25" s="481"/>
      <c r="P25" s="481"/>
      <c r="Q25" s="481"/>
    </row>
    <row r="26" spans="2:17" x14ac:dyDescent="0.25">
      <c r="B26" s="481"/>
      <c r="C26" s="482"/>
      <c r="D26" s="482"/>
      <c r="E26" s="482"/>
      <c r="F26" s="482"/>
      <c r="G26" s="482"/>
      <c r="H26" s="482"/>
      <c r="I26" s="482"/>
      <c r="J26" s="481"/>
      <c r="K26" s="481"/>
      <c r="L26" s="481"/>
      <c r="M26" s="481"/>
      <c r="N26" s="481"/>
      <c r="O26" s="481"/>
      <c r="P26" s="481"/>
      <c r="Q26" s="481"/>
    </row>
    <row r="27" spans="2:17" x14ac:dyDescent="0.25">
      <c r="B27" s="481"/>
      <c r="C27" s="482"/>
      <c r="D27" s="482"/>
      <c r="E27" s="482"/>
      <c r="F27" s="482"/>
      <c r="G27" s="482"/>
      <c r="H27" s="482"/>
      <c r="I27" s="482"/>
      <c r="J27" s="481"/>
      <c r="K27" s="481"/>
      <c r="L27" s="481"/>
      <c r="M27" s="481"/>
      <c r="N27" s="481"/>
      <c r="O27" s="481"/>
      <c r="P27" s="481"/>
      <c r="Q27" s="481"/>
    </row>
    <row r="28" spans="2:17" x14ac:dyDescent="0.25">
      <c r="B28" s="481"/>
      <c r="C28" s="482"/>
      <c r="D28" s="482"/>
      <c r="E28" s="482"/>
      <c r="F28" s="482"/>
      <c r="G28" s="482"/>
      <c r="H28" s="482"/>
      <c r="I28" s="482"/>
      <c r="J28" s="481"/>
      <c r="K28" s="481"/>
      <c r="L28" s="481"/>
      <c r="M28" s="481"/>
      <c r="N28" s="481"/>
      <c r="O28" s="481"/>
      <c r="P28" s="481"/>
      <c r="Q28" s="481"/>
    </row>
    <row r="29" spans="2:17" x14ac:dyDescent="0.25">
      <c r="B29" s="481"/>
      <c r="C29" s="482"/>
      <c r="D29" s="482"/>
      <c r="E29" s="482"/>
      <c r="F29" s="482"/>
      <c r="G29" s="482"/>
      <c r="H29" s="482"/>
      <c r="I29" s="482"/>
      <c r="J29" s="481"/>
      <c r="K29" s="481"/>
      <c r="L29" s="481"/>
      <c r="M29" s="481"/>
      <c r="N29" s="481"/>
      <c r="O29" s="481"/>
      <c r="P29" s="481"/>
      <c r="Q29" s="481"/>
    </row>
    <row r="30" spans="2:17" x14ac:dyDescent="0.25">
      <c r="B30" s="481"/>
      <c r="C30" s="482"/>
      <c r="D30" s="482"/>
      <c r="E30" s="482"/>
      <c r="F30" s="482"/>
      <c r="G30" s="482"/>
      <c r="H30" s="482"/>
      <c r="I30" s="482"/>
      <c r="J30" s="481"/>
      <c r="K30" s="481"/>
      <c r="L30" s="481"/>
      <c r="M30" s="481"/>
      <c r="N30" s="481"/>
      <c r="O30" s="481"/>
      <c r="P30" s="481"/>
      <c r="Q30" s="481"/>
    </row>
    <row r="31" spans="2:17" x14ac:dyDescent="0.25">
      <c r="B31" s="481"/>
      <c r="C31" s="482"/>
      <c r="D31" s="482"/>
      <c r="E31" s="482"/>
      <c r="F31" s="482"/>
      <c r="G31" s="482"/>
      <c r="H31" s="482"/>
      <c r="I31" s="482"/>
      <c r="J31" s="481"/>
      <c r="K31" s="481"/>
      <c r="L31" s="481"/>
      <c r="M31" s="481"/>
      <c r="N31" s="481"/>
      <c r="O31" s="481"/>
      <c r="P31" s="481"/>
      <c r="Q31" s="481"/>
    </row>
    <row r="32" spans="2:17" x14ac:dyDescent="0.25">
      <c r="B32" s="481"/>
      <c r="C32" s="482"/>
      <c r="D32" s="482"/>
      <c r="E32" s="482"/>
      <c r="F32" s="482"/>
      <c r="G32" s="482"/>
      <c r="H32" s="482"/>
      <c r="I32" s="482"/>
      <c r="J32" s="481"/>
      <c r="K32" s="481"/>
      <c r="L32" s="481"/>
      <c r="M32" s="481"/>
      <c r="N32" s="481"/>
      <c r="O32" s="481"/>
      <c r="P32" s="481"/>
      <c r="Q32" s="481"/>
    </row>
    <row r="33" spans="2:17" x14ac:dyDescent="0.25">
      <c r="B33" s="481"/>
      <c r="C33" s="482"/>
      <c r="D33" s="482"/>
      <c r="E33" s="482"/>
      <c r="F33" s="482"/>
      <c r="G33" s="482"/>
      <c r="H33" s="482"/>
      <c r="I33" s="482"/>
      <c r="J33" s="481"/>
      <c r="K33" s="481"/>
      <c r="L33" s="481"/>
      <c r="M33" s="481"/>
      <c r="N33" s="481"/>
      <c r="O33" s="481"/>
      <c r="P33" s="481"/>
      <c r="Q33" s="481"/>
    </row>
    <row r="34" spans="2:17" x14ac:dyDescent="0.25">
      <c r="B34" s="481"/>
      <c r="C34" s="482"/>
      <c r="D34" s="482"/>
      <c r="E34" s="482"/>
      <c r="F34" s="482"/>
      <c r="G34" s="482"/>
      <c r="H34" s="482"/>
      <c r="I34" s="482"/>
      <c r="J34" s="481"/>
      <c r="K34" s="481"/>
      <c r="L34" s="481"/>
      <c r="M34" s="481"/>
      <c r="N34" s="481"/>
      <c r="O34" s="481"/>
      <c r="P34" s="481"/>
      <c r="Q34" s="481"/>
    </row>
    <row r="35" spans="2:17" x14ac:dyDescent="0.25">
      <c r="B35" s="481"/>
      <c r="C35" s="482"/>
      <c r="D35" s="482"/>
      <c r="E35" s="482"/>
      <c r="F35" s="482"/>
      <c r="G35" s="482"/>
      <c r="H35" s="482"/>
      <c r="I35" s="482"/>
      <c r="J35" s="481"/>
      <c r="K35" s="481"/>
      <c r="L35" s="481"/>
      <c r="M35" s="481"/>
      <c r="N35" s="481"/>
      <c r="O35" s="481"/>
      <c r="P35" s="481"/>
      <c r="Q35" s="481"/>
    </row>
    <row r="36" spans="2:17" x14ac:dyDescent="0.25">
      <c r="B36" s="481" t="s">
        <v>329</v>
      </c>
      <c r="C36" s="481" t="s">
        <v>359</v>
      </c>
      <c r="D36" s="481" t="s">
        <v>368</v>
      </c>
    </row>
    <row r="37" spans="2:17" x14ac:dyDescent="0.25">
      <c r="B37" s="482"/>
      <c r="C37" s="482"/>
      <c r="D37" s="482"/>
    </row>
    <row r="38" spans="2:17" x14ac:dyDescent="0.25">
      <c r="B38" s="482"/>
      <c r="C38" s="482"/>
      <c r="D38" s="482"/>
    </row>
    <row r="39" spans="2:17" x14ac:dyDescent="0.25">
      <c r="B39" s="482"/>
      <c r="C39" s="482"/>
      <c r="D39" s="482"/>
    </row>
    <row r="40" spans="2:17" x14ac:dyDescent="0.25">
      <c r="B40" s="482"/>
      <c r="C40" s="482"/>
      <c r="D40" s="482"/>
    </row>
    <row r="41" spans="2:17" x14ac:dyDescent="0.25">
      <c r="B41" s="482"/>
      <c r="C41" s="482"/>
      <c r="D41" s="482"/>
    </row>
    <row r="42" spans="2:17" x14ac:dyDescent="0.25">
      <c r="B42" s="482"/>
      <c r="C42" s="482"/>
      <c r="D42" s="482"/>
    </row>
    <row r="43" spans="2:17" x14ac:dyDescent="0.25">
      <c r="B43" s="482"/>
      <c r="C43" s="482"/>
      <c r="D43" s="482"/>
    </row>
    <row r="44" spans="2:17" x14ac:dyDescent="0.25">
      <c r="B44" s="482"/>
      <c r="C44" s="482"/>
      <c r="D44" s="482"/>
    </row>
    <row r="45" spans="2:17" x14ac:dyDescent="0.25">
      <c r="B45" s="482"/>
      <c r="C45" s="482"/>
      <c r="D45" s="482"/>
    </row>
    <row r="46" spans="2:17" x14ac:dyDescent="0.25">
      <c r="B46" s="482"/>
      <c r="C46" s="482"/>
      <c r="D46" s="482"/>
    </row>
    <row r="47" spans="2:17" x14ac:dyDescent="0.25">
      <c r="B47" s="482"/>
      <c r="C47" s="482"/>
      <c r="D47" s="482"/>
    </row>
    <row r="48" spans="2:17" x14ac:dyDescent="0.25">
      <c r="B48" s="482"/>
      <c r="C48" s="482"/>
      <c r="D48" s="482"/>
    </row>
    <row r="49" spans="2:4" x14ac:dyDescent="0.25">
      <c r="B49" s="482"/>
      <c r="C49" s="482"/>
      <c r="D49" s="482"/>
    </row>
    <row r="50" spans="2:4" x14ac:dyDescent="0.25">
      <c r="B50" s="482"/>
      <c r="C50" s="482"/>
      <c r="D50" s="482"/>
    </row>
    <row r="51" spans="2:4" x14ac:dyDescent="0.25">
      <c r="B51" s="482"/>
      <c r="C51" s="482"/>
      <c r="D51" s="482"/>
    </row>
    <row r="52" spans="2:4" x14ac:dyDescent="0.25">
      <c r="B52" s="482"/>
      <c r="C52" s="482"/>
      <c r="D52" s="482"/>
    </row>
    <row r="53" spans="2:4" x14ac:dyDescent="0.25">
      <c r="B53" s="482"/>
      <c r="C53" s="482"/>
      <c r="D53" s="482"/>
    </row>
    <row r="54" spans="2:4" x14ac:dyDescent="0.25">
      <c r="B54" s="482"/>
      <c r="C54" s="482"/>
      <c r="D54" s="482"/>
    </row>
    <row r="55" spans="2:4" x14ac:dyDescent="0.25">
      <c r="B55" s="482"/>
      <c r="C55" s="482"/>
      <c r="D55" s="482"/>
    </row>
    <row r="56" spans="2:4" x14ac:dyDescent="0.25">
      <c r="B56" s="482"/>
      <c r="C56" s="482"/>
      <c r="D56" s="482"/>
    </row>
    <row r="57" spans="2:4" x14ac:dyDescent="0.25">
      <c r="B57" s="482"/>
      <c r="C57" s="482"/>
      <c r="D57" s="482"/>
    </row>
    <row r="58" spans="2:4" x14ac:dyDescent="0.25">
      <c r="B58" s="482"/>
      <c r="C58" s="482"/>
      <c r="D58" s="482"/>
    </row>
    <row r="59" spans="2:4" x14ac:dyDescent="0.25">
      <c r="B59" s="482"/>
      <c r="C59" s="482"/>
      <c r="D59" s="482"/>
    </row>
    <row r="60" spans="2:4" x14ac:dyDescent="0.25">
      <c r="B60" s="482"/>
      <c r="C60" s="482"/>
      <c r="D60" s="482"/>
    </row>
    <row r="61" spans="2:4" x14ac:dyDescent="0.25">
      <c r="B61" s="482"/>
      <c r="C61" s="482"/>
      <c r="D61" s="482"/>
    </row>
    <row r="62" spans="2:4" x14ac:dyDescent="0.25">
      <c r="B62" s="482"/>
      <c r="C62" s="482"/>
      <c r="D62" s="482"/>
    </row>
    <row r="63" spans="2:4" x14ac:dyDescent="0.25">
      <c r="B63" s="482"/>
      <c r="C63" s="482"/>
      <c r="D63" s="482"/>
    </row>
    <row r="64" spans="2:4" x14ac:dyDescent="0.25">
      <c r="B64" s="482"/>
      <c r="C64" s="482"/>
      <c r="D64" s="482"/>
    </row>
    <row r="65" spans="4:4" x14ac:dyDescent="0.25">
      <c r="D65" s="482"/>
    </row>
  </sheetData>
  <mergeCells count="20">
    <mergeCell ref="P6:P35"/>
    <mergeCell ref="Q6:Q35"/>
    <mergeCell ref="S3:S13"/>
    <mergeCell ref="K6:K35"/>
    <mergeCell ref="N6:N35"/>
    <mergeCell ref="O6:O35"/>
    <mergeCell ref="L6:L35"/>
    <mergeCell ref="M6:M35"/>
    <mergeCell ref="B36:B64"/>
    <mergeCell ref="D36:D65"/>
    <mergeCell ref="H6:H35"/>
    <mergeCell ref="I6:I35"/>
    <mergeCell ref="J6:J35"/>
    <mergeCell ref="G6:G35"/>
    <mergeCell ref="B6:B35"/>
    <mergeCell ref="C6:C35"/>
    <mergeCell ref="D6:D35"/>
    <mergeCell ref="E6:E35"/>
    <mergeCell ref="F6:F35"/>
    <mergeCell ref="C36:C64"/>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U41"/>
  <sheetViews>
    <sheetView zoomScale="120" zoomScaleNormal="120" workbookViewId="0">
      <selection activeCell="M26" sqref="M26"/>
    </sheetView>
  </sheetViews>
  <sheetFormatPr baseColWidth="10" defaultColWidth="16.59765625" defaultRowHeight="16.5" customHeight="1" x14ac:dyDescent="0.25"/>
  <cols>
    <col min="1" max="1" width="22.19921875" customWidth="1"/>
    <col min="2" max="6" width="12.09765625" customWidth="1"/>
    <col min="7" max="8" width="2.59765625" customWidth="1"/>
    <col min="9" max="13" width="12.09765625" customWidth="1"/>
    <col min="14" max="15" width="2.59765625" customWidth="1"/>
    <col min="16" max="18" width="12.09765625" style="1" customWidth="1"/>
    <col min="19" max="32" width="12.09765625" customWidth="1"/>
    <col min="33" max="38" width="11.8984375" customWidth="1"/>
  </cols>
  <sheetData>
    <row r="1" spans="1:21" s="103" customFormat="1" ht="22.5" customHeight="1" x14ac:dyDescent="0.4">
      <c r="A1" s="494" t="s">
        <v>108</v>
      </c>
      <c r="B1" s="494"/>
      <c r="C1" s="494"/>
      <c r="D1" s="494"/>
      <c r="E1" s="494"/>
      <c r="F1" s="494"/>
      <c r="G1" s="101"/>
      <c r="H1" s="102"/>
      <c r="I1" s="496" t="s">
        <v>113</v>
      </c>
      <c r="J1" s="496"/>
      <c r="K1" s="496"/>
      <c r="L1" s="496"/>
      <c r="M1" s="496"/>
      <c r="N1" s="102"/>
      <c r="O1" s="108"/>
      <c r="P1" s="109"/>
      <c r="Q1" s="109"/>
      <c r="R1" s="109"/>
      <c r="S1" s="108"/>
      <c r="T1" s="108"/>
      <c r="U1" s="108"/>
    </row>
    <row r="2" spans="1:21" ht="16.5" customHeight="1" x14ac:dyDescent="0.25">
      <c r="A2" s="66"/>
      <c r="B2" s="66"/>
      <c r="C2" s="66"/>
      <c r="D2" s="66"/>
      <c r="E2" s="66"/>
      <c r="F2" s="66"/>
      <c r="G2" s="66"/>
      <c r="H2" s="92"/>
      <c r="I2" s="92"/>
      <c r="J2" s="92"/>
      <c r="K2" s="92"/>
      <c r="L2" s="92"/>
      <c r="M2" s="92"/>
      <c r="N2" s="92"/>
      <c r="O2" s="110"/>
      <c r="P2" s="111"/>
      <c r="Q2" s="111"/>
      <c r="R2" s="111"/>
      <c r="S2" s="110"/>
      <c r="T2" s="110"/>
      <c r="U2" s="110"/>
    </row>
    <row r="3" spans="1:21" ht="16.5" customHeight="1" x14ac:dyDescent="0.25">
      <c r="A3" s="68" t="s">
        <v>33</v>
      </c>
      <c r="B3" s="69"/>
      <c r="C3" s="86">
        <f>VLOOKUP('Verknüpfungen 1'!$M$1,'Verknüpfungen 1'!$M$2:$N$18,2)</f>
        <v>2024</v>
      </c>
      <c r="D3" s="66"/>
      <c r="E3" s="66"/>
      <c r="F3" s="66"/>
      <c r="G3" s="66"/>
      <c r="H3" s="92"/>
      <c r="I3" s="93"/>
      <c r="J3" s="95">
        <f>VLOOKUP('Verknüpfungen 2'!$M$1,'Verknüpfungen 2'!$M$2:$N$18,2)</f>
        <v>2024</v>
      </c>
      <c r="K3" s="92"/>
      <c r="L3" s="92"/>
      <c r="M3" s="92"/>
      <c r="N3" s="92"/>
      <c r="O3" s="110"/>
      <c r="P3" s="111"/>
      <c r="Q3" s="111"/>
      <c r="R3" s="111"/>
      <c r="S3" s="110"/>
      <c r="T3" s="110"/>
      <c r="U3" s="110"/>
    </row>
    <row r="4" spans="1:21" ht="16.5" customHeight="1" x14ac:dyDescent="0.25">
      <c r="A4" s="75"/>
      <c r="B4" s="66"/>
      <c r="C4" s="66"/>
      <c r="D4" s="66"/>
      <c r="E4" s="66"/>
      <c r="F4" s="66"/>
      <c r="G4" s="66"/>
      <c r="H4" s="92"/>
      <c r="I4" s="92"/>
      <c r="J4" s="92"/>
      <c r="K4" s="92"/>
      <c r="L4" s="92"/>
      <c r="M4" s="92"/>
      <c r="N4" s="92"/>
      <c r="O4" s="110"/>
      <c r="P4" s="111"/>
      <c r="Q4" s="111"/>
      <c r="R4" s="111"/>
      <c r="S4" s="110"/>
      <c r="T4" s="110"/>
      <c r="U4" s="110"/>
    </row>
    <row r="5" spans="1:21" ht="16.5" customHeight="1" x14ac:dyDescent="0.25">
      <c r="A5" s="68" t="s">
        <v>78</v>
      </c>
      <c r="B5" s="84"/>
      <c r="C5" s="501" t="str">
        <f>IF('Internetfenster 1'!F6="","",IF('Verknüpfungen 1'!E19=FALSE,"",'Internetfenster 1'!F6))</f>
        <v/>
      </c>
      <c r="D5" s="502"/>
      <c r="E5" s="90" t="s">
        <v>107</v>
      </c>
      <c r="F5" s="66"/>
      <c r="G5" s="66"/>
      <c r="H5" s="92"/>
      <c r="I5" s="94"/>
      <c r="J5" s="501" t="str">
        <f>IF('Internetfenster 2'!F6="","",IF('Verknüpfungen 2'!E19=FALSE,"",'Internetfenster 2'!F6))</f>
        <v/>
      </c>
      <c r="K5" s="502"/>
      <c r="L5" s="90" t="s">
        <v>107</v>
      </c>
      <c r="M5" s="92"/>
      <c r="N5" s="92"/>
      <c r="O5" s="110"/>
      <c r="P5" s="111"/>
      <c r="Q5" s="111"/>
      <c r="R5" s="111"/>
      <c r="S5" s="110"/>
      <c r="T5" s="110"/>
      <c r="U5" s="110"/>
    </row>
    <row r="6" spans="1:21" ht="16.5" customHeight="1" x14ac:dyDescent="0.25">
      <c r="A6" s="75"/>
      <c r="B6" s="66"/>
      <c r="C6" s="66"/>
      <c r="D6" s="66"/>
      <c r="E6" s="66"/>
      <c r="F6" s="66"/>
      <c r="G6" s="66"/>
      <c r="H6" s="92"/>
      <c r="I6" s="92"/>
      <c r="J6" s="92"/>
      <c r="K6" s="92"/>
      <c r="L6" s="92"/>
      <c r="M6" s="92"/>
      <c r="N6" s="92"/>
      <c r="O6" s="110"/>
      <c r="P6" s="111"/>
      <c r="Q6" s="111"/>
      <c r="R6" s="111"/>
      <c r="S6" s="110"/>
      <c r="T6" s="110"/>
      <c r="U6" s="110"/>
    </row>
    <row r="7" spans="1:21" ht="33" customHeight="1" x14ac:dyDescent="0.25">
      <c r="A7" s="75"/>
      <c r="B7" s="66"/>
      <c r="C7" s="85" t="s">
        <v>98</v>
      </c>
      <c r="D7" s="85" t="s">
        <v>99</v>
      </c>
      <c r="E7" s="85" t="s">
        <v>105</v>
      </c>
      <c r="F7" s="66"/>
      <c r="G7" s="66"/>
      <c r="H7" s="92"/>
      <c r="I7" s="92"/>
      <c r="J7" s="85" t="s">
        <v>98</v>
      </c>
      <c r="K7" s="85" t="s">
        <v>99</v>
      </c>
      <c r="L7" s="85" t="s">
        <v>105</v>
      </c>
      <c r="M7" s="92"/>
      <c r="N7" s="92"/>
      <c r="O7" s="110"/>
      <c r="P7" s="111"/>
      <c r="Q7" s="111"/>
      <c r="R7" s="111"/>
      <c r="S7" s="110"/>
      <c r="T7" s="110"/>
      <c r="U7" s="110"/>
    </row>
    <row r="8" spans="1:21" ht="16.5" customHeight="1" x14ac:dyDescent="0.25">
      <c r="A8" s="73" t="s">
        <v>97</v>
      </c>
      <c r="B8" s="74"/>
      <c r="C8" s="104">
        <f>IF(C5="",0,IF('Verknüpfungen 1'!A19=FALSE,0,'Internetfenster 1'!J6))</f>
        <v>0</v>
      </c>
      <c r="D8" s="118">
        <f>IF(C5="",0,IF('Verknüpfungen 1'!A20=FALSE,0,'Internetfenster 1'!L6))</f>
        <v>0</v>
      </c>
      <c r="E8" s="118">
        <f>IF(C5="",0,IF('Verknüpfungen 1'!A21=FALSE,0,'Internetfenster 1'!N6))</f>
        <v>0</v>
      </c>
      <c r="F8" s="90" t="s">
        <v>107</v>
      </c>
      <c r="G8" s="66"/>
      <c r="H8" s="92"/>
      <c r="I8" s="93"/>
      <c r="J8" s="118">
        <f>IF(J5="",0,IF('Verknüpfungen 2'!A19=FALSE,0,'Internetfenster 2'!J6))</f>
        <v>0</v>
      </c>
      <c r="K8" s="118">
        <f>IF(J5="",0,IF('Verknüpfungen 2'!A20=FALSE,0,'Internetfenster 2'!L6))</f>
        <v>0</v>
      </c>
      <c r="L8" s="118">
        <f>IF(J5="",0,IF('Verknüpfungen 2'!A21=FALSE,0,'Internetfenster 2'!N6))</f>
        <v>0</v>
      </c>
      <c r="M8" s="90" t="s">
        <v>107</v>
      </c>
      <c r="N8" s="92"/>
      <c r="O8" s="110"/>
      <c r="P8" s="111"/>
      <c r="Q8" s="111"/>
      <c r="R8" s="111"/>
      <c r="S8" s="110"/>
      <c r="T8" s="110"/>
      <c r="U8" s="110"/>
    </row>
    <row r="9" spans="1:21" ht="16.5" customHeight="1" x14ac:dyDescent="0.25">
      <c r="A9" s="77"/>
      <c r="B9" s="76"/>
      <c r="C9" s="66"/>
      <c r="D9" s="66"/>
      <c r="E9" s="66"/>
      <c r="F9" s="66"/>
      <c r="G9" s="66"/>
      <c r="H9" s="92"/>
      <c r="I9" s="93"/>
      <c r="J9" s="92"/>
      <c r="K9" s="92"/>
      <c r="L9" s="92"/>
      <c r="M9" s="92"/>
      <c r="N9" s="92"/>
      <c r="O9" s="110"/>
      <c r="P9" s="111"/>
      <c r="Q9" s="111"/>
      <c r="R9" s="111"/>
      <c r="S9" s="110"/>
      <c r="T9" s="110"/>
      <c r="U9" s="110"/>
    </row>
    <row r="10" spans="1:21" ht="16.5" customHeight="1" x14ac:dyDescent="0.25">
      <c r="A10" s="68" t="s">
        <v>96</v>
      </c>
      <c r="B10" s="69"/>
      <c r="C10" s="66"/>
      <c r="D10" s="66"/>
      <c r="E10" s="66"/>
      <c r="F10" s="90" t="s">
        <v>107</v>
      </c>
      <c r="G10" s="66"/>
      <c r="H10" s="92"/>
      <c r="I10" s="93"/>
      <c r="J10" s="92"/>
      <c r="K10" s="92"/>
      <c r="L10" s="92"/>
      <c r="M10" s="90" t="s">
        <v>107</v>
      </c>
      <c r="N10" s="92"/>
      <c r="O10" s="110"/>
      <c r="P10" s="111"/>
      <c r="Q10" s="111"/>
      <c r="R10" s="111"/>
      <c r="S10" s="110"/>
      <c r="T10" s="110"/>
      <c r="U10" s="110"/>
    </row>
    <row r="11" spans="1:21" ht="16.5" customHeight="1" x14ac:dyDescent="0.25">
      <c r="A11" s="75"/>
      <c r="B11" s="66"/>
      <c r="C11" s="66"/>
      <c r="D11" s="66"/>
      <c r="E11" s="66"/>
      <c r="F11" s="66"/>
      <c r="G11" s="66"/>
      <c r="H11" s="92"/>
      <c r="I11" s="92"/>
      <c r="J11" s="92"/>
      <c r="K11" s="92"/>
      <c r="L11" s="92"/>
      <c r="M11" s="92"/>
      <c r="N11" s="92"/>
      <c r="O11" s="110"/>
      <c r="P11" s="500" t="s">
        <v>112</v>
      </c>
      <c r="Q11" s="500"/>
      <c r="R11" s="500"/>
      <c r="S11" s="110"/>
      <c r="T11" s="110"/>
      <c r="U11" s="110"/>
    </row>
    <row r="12" spans="1:21" ht="16.5" customHeight="1" x14ac:dyDescent="0.25">
      <c r="A12" s="68" t="s">
        <v>79</v>
      </c>
      <c r="B12" s="69"/>
      <c r="C12" s="497" t="str">
        <f>VLOOKUP('Verknüpfungen 1'!$H$1,'Verknüpfungen 1'!$H$2:$K$5,3)</f>
        <v>Betriebsführer</v>
      </c>
      <c r="D12" s="497"/>
      <c r="E12" s="497" t="str">
        <f>VLOOKUP('Verknüpfungen 1'!$H$1,'Verknüpfungen 1'!$H$2:$K$5,4)</f>
        <v>---</v>
      </c>
      <c r="F12" s="497"/>
      <c r="G12" s="66"/>
      <c r="H12" s="92"/>
      <c r="I12" s="93"/>
      <c r="J12" s="497" t="str">
        <f>VLOOKUP('Verknüpfungen 2'!$H$1,'Verknüpfungen 2'!$H$2:$K$5,3)</f>
        <v>Betriebsführer</v>
      </c>
      <c r="K12" s="497"/>
      <c r="L12" s="497" t="str">
        <f>VLOOKUP('Verknüpfungen 2'!$H$1,'Verknüpfungen 2'!$H$2:$K$5,4)</f>
        <v>---</v>
      </c>
      <c r="M12" s="497"/>
      <c r="N12" s="92"/>
      <c r="O12" s="110"/>
      <c r="P12" s="112"/>
      <c r="Q12" s="112"/>
      <c r="R12" s="112"/>
      <c r="S12" s="110"/>
      <c r="T12" s="110"/>
      <c r="U12" s="110"/>
    </row>
    <row r="13" spans="1:21" ht="16.5" customHeight="1" x14ac:dyDescent="0.25">
      <c r="A13" s="68" t="s">
        <v>92</v>
      </c>
      <c r="B13" s="69"/>
      <c r="C13" s="498" t="str">
        <f>IF(C5="","",IF('Verknüpfungen 1'!H1=4,ROUNDDOWN(Beitragsberechnung!C5/2,-2),ROUNDDOWN(Beitragsberechnung!C5,-2)))</f>
        <v/>
      </c>
      <c r="D13" s="498"/>
      <c r="E13" s="498" t="str">
        <f>IF('Verknüpfungen 1'!H1=4,ROUNDDOWN(Beitragsberechnung!C5/2,-2),"")</f>
        <v/>
      </c>
      <c r="F13" s="498"/>
      <c r="G13" s="66"/>
      <c r="H13" s="92"/>
      <c r="I13" s="93"/>
      <c r="J13" s="503" t="str">
        <f>IF(J5="","",IF('Verknüpfungen 2'!H1=4,ROUNDDOWN(Beitragsberechnung!J5/2,-2),ROUNDDOWN(Beitragsberechnung!J5,-2)))</f>
        <v/>
      </c>
      <c r="K13" s="503"/>
      <c r="L13" s="498" t="str">
        <f>IF('Verknüpfungen 2'!H1=4,ROUNDDOWN(Beitragsberechnung!J5/2,-2),"")</f>
        <v/>
      </c>
      <c r="M13" s="498"/>
      <c r="N13" s="92"/>
      <c r="O13" s="110"/>
      <c r="P13" s="64" t="s">
        <v>109</v>
      </c>
      <c r="Q13" s="64" t="s">
        <v>110</v>
      </c>
      <c r="R13" s="64" t="s">
        <v>111</v>
      </c>
      <c r="S13" s="110"/>
      <c r="T13" s="110"/>
      <c r="U13" s="110"/>
    </row>
    <row r="14" spans="1:21" ht="28.5" customHeight="1" x14ac:dyDescent="0.25">
      <c r="A14" s="66"/>
      <c r="B14" s="67" t="s">
        <v>83</v>
      </c>
      <c r="C14" s="65" t="s">
        <v>82</v>
      </c>
      <c r="D14" s="65" t="s">
        <v>84</v>
      </c>
      <c r="E14" s="65" t="s">
        <v>82</v>
      </c>
      <c r="F14" s="65" t="s">
        <v>84</v>
      </c>
      <c r="G14" s="66"/>
      <c r="H14" s="92"/>
      <c r="I14" s="65" t="s">
        <v>83</v>
      </c>
      <c r="J14" s="65" t="s">
        <v>82</v>
      </c>
      <c r="K14" s="65" t="s">
        <v>84</v>
      </c>
      <c r="L14" s="65" t="s">
        <v>82</v>
      </c>
      <c r="M14" s="65" t="s">
        <v>84</v>
      </c>
      <c r="N14" s="92"/>
      <c r="O14" s="110"/>
      <c r="P14" s="65" t="s">
        <v>84</v>
      </c>
      <c r="Q14" s="65" t="s">
        <v>84</v>
      </c>
      <c r="R14" s="65" t="s">
        <v>84</v>
      </c>
      <c r="S14" s="110"/>
      <c r="T14" s="110"/>
      <c r="U14" s="110"/>
    </row>
    <row r="15" spans="1:21" ht="16.5" customHeight="1" x14ac:dyDescent="0.25">
      <c r="A15" s="70" t="s">
        <v>85</v>
      </c>
      <c r="B15" s="60">
        <f>VLOOKUP($C$3,Wertedatenbank!$A$3:$AG$21,Wertedatenbank!J$22)</f>
        <v>1.9E-2</v>
      </c>
      <c r="C15" s="61" t="str">
        <f>IF(C5="","",'Berechnung 1'!L49)</f>
        <v/>
      </c>
      <c r="D15" s="61" t="str">
        <f>IF(C15="","",ROUND(C15*B15,2))</f>
        <v/>
      </c>
      <c r="E15" s="499" t="str">
        <f>IF(C5="","",IF(E12="---","","UV bei BF 1"))</f>
        <v/>
      </c>
      <c r="F15" s="499"/>
      <c r="G15" s="66"/>
      <c r="H15" s="92"/>
      <c r="I15" s="60">
        <f>VLOOKUP($J$3,Wertedatenbank!$A$3:$AG$21,Wertedatenbank!J$22)</f>
        <v>1.9E-2</v>
      </c>
      <c r="J15" s="61" t="str">
        <f>IF(J5="","",'Berechnung 2'!L49)</f>
        <v/>
      </c>
      <c r="K15" s="61" t="str">
        <f>IF(J15="","",ROUND(J15*I15,2))</f>
        <v/>
      </c>
      <c r="L15" s="499" t="str">
        <f>IF(J5="","",IF(L12="---","","UV bei BF 1"))</f>
        <v/>
      </c>
      <c r="M15" s="499"/>
      <c r="N15" s="92"/>
      <c r="O15" s="110"/>
      <c r="P15" s="115" t="str">
        <f>IF(J15="","",K15-D15)</f>
        <v/>
      </c>
      <c r="Q15" s="116" t="str">
        <f>IF(J5="","","---")</f>
        <v/>
      </c>
      <c r="R15" s="115" t="str">
        <f>P15</f>
        <v/>
      </c>
      <c r="S15" s="110"/>
      <c r="T15" s="110"/>
      <c r="U15" s="110"/>
    </row>
    <row r="16" spans="1:21" ht="16.5" customHeight="1" x14ac:dyDescent="0.25">
      <c r="A16" s="70" t="s">
        <v>86</v>
      </c>
      <c r="B16" s="60">
        <f>VLOOKUP($C$3,Wertedatenbank!$A$3:$AG$21,Wertedatenbank!H$22)</f>
        <v>6.8000000000000005E-2</v>
      </c>
      <c r="C16" s="61" t="str">
        <f>IF(C5="","",IF(C13&lt;1500,"keine KV!",IF('Verknüpfungen 1'!H1=1,'Berechnung 1'!L22,IF('Verknüpfungen 1'!H1=2,'Berechnung 1'!L23,IF('Verknüpfungen 1'!H1=3,'Berechnung 1'!L23,'Berechnung 1'!L22)))))</f>
        <v/>
      </c>
      <c r="D16" s="61" t="str">
        <f>IF(C16="","",IF(C16="keine KV!",0,ROUND(C16*B16,2)))</f>
        <v/>
      </c>
      <c r="E16" s="61" t="str">
        <f>IF('Verknüpfungen 1'!H1=3,'Berechnung 1'!L23,IF(E13&lt;1500,"keine KV!",IF('Verknüpfungen 1'!H$1=1,"",Beitragsberechnung!C16)))</f>
        <v/>
      </c>
      <c r="F16" s="61" t="str">
        <f>IF(E16="","",IF(E16="keine KV!",0,ROUND(E16*B16,2)))</f>
        <v/>
      </c>
      <c r="G16" s="66"/>
      <c r="H16" s="92"/>
      <c r="I16" s="60">
        <f>VLOOKUP($J$3,Wertedatenbank!$A$3:$AG$21,Wertedatenbank!H$22)</f>
        <v>6.8000000000000005E-2</v>
      </c>
      <c r="J16" s="61" t="str">
        <f>IF(J5="","",IF(J13&lt;1500,"keine KV!",IF('Verknüpfungen 2'!H1=1,'Berechnung 2'!L22,IF('Verknüpfungen 2'!H1=2,'Berechnung 2'!L23,IF('Verknüpfungen 2'!H1=3,'Berechnung 2'!L23,'Berechnung 2'!L22)))))</f>
        <v/>
      </c>
      <c r="K16" s="61" t="str">
        <f>IF(J16="","",IF(J16="keine KV!",0,ROUND(J16*I16,2)))</f>
        <v/>
      </c>
      <c r="L16" s="61" t="str">
        <f>IF('Verknüpfungen 2'!H1=3,'Berechnung 2'!L23,IF(L13&lt;1500,"keine KV!",IF('Verknüpfungen 2'!H$1=1,"",Beitragsberechnung!J16)))</f>
        <v/>
      </c>
      <c r="M16" s="61" t="str">
        <f>IF(L16="","",IF(L16="keine KV!",0,ROUND(L16*I16,2)))</f>
        <v/>
      </c>
      <c r="N16" s="92"/>
      <c r="O16" s="110"/>
      <c r="P16" s="115" t="str">
        <f>IF(J16="","",K16-D16)</f>
        <v/>
      </c>
      <c r="Q16" s="115" t="str">
        <f>IF(J5="","",IF(M16="",0,M16)-IF(F16="",0,F16))</f>
        <v/>
      </c>
      <c r="R16" s="115" t="str">
        <f>IF(J16="","",P16+Q16)</f>
        <v/>
      </c>
      <c r="S16" s="110"/>
      <c r="T16" s="110"/>
      <c r="U16" s="110"/>
    </row>
    <row r="17" spans="1:21" ht="16.5" customHeight="1" x14ac:dyDescent="0.25">
      <c r="A17" s="70" t="s">
        <v>87</v>
      </c>
      <c r="B17" s="60">
        <f>VLOOKUP($C$3,Wertedatenbank!$A$3:$AG$21,Wertedatenbank!I$22)</f>
        <v>0.17</v>
      </c>
      <c r="C17" s="61" t="str">
        <f>IF(C5="","",IF(C13&lt;1500,"keine PV!",IF('Verknüpfungen 1'!H1=1,'Berechnung 1'!K22,IF('Verknüpfungen 1'!H1=2,'Berechnung 1'!K23,IF('Verknüpfungen 1'!H1=3,'Berechnung 1'!K23,'Berechnung 1'!K22)))))</f>
        <v/>
      </c>
      <c r="D17" s="61" t="str">
        <f>IF(C17="","",IF(C17="keine PV!",0,ROUND(C17*B17,2)))</f>
        <v/>
      </c>
      <c r="E17" s="61" t="str">
        <f>IF('Verknüpfungen 1'!H1=3,'Berechnung 1'!K23,IF(E13&lt;1500,"keine PV!",IF('Verknüpfungen 1'!H$1=1,"",Beitragsberechnung!C17)))</f>
        <v/>
      </c>
      <c r="F17" s="61" t="str">
        <f>IF(E17="","",IF(E17="keine PV!",0,ROUND(E17*B17,2)))</f>
        <v/>
      </c>
      <c r="G17" s="66"/>
      <c r="H17" s="92"/>
      <c r="I17" s="60">
        <f>VLOOKUP($J$3,Wertedatenbank!$A$3:$AG$21,Wertedatenbank!I$22)</f>
        <v>0.17</v>
      </c>
      <c r="J17" s="61" t="str">
        <f>IF(J5="","",IF(J13&lt;1500,"keine PV!",IF('Verknüpfungen 2'!H1=1,'Berechnung 2'!K22,IF('Verknüpfungen 2'!H1=2,'Berechnung 2'!K23,IF('Verknüpfungen 2'!H1=3,'Berechnung 2'!K23,'Berechnung 2'!K22)))))</f>
        <v/>
      </c>
      <c r="K17" s="61" t="str">
        <f>IF(J17="","",IF(J17="keine PV!",0,ROUND(J17*I17,2)))</f>
        <v/>
      </c>
      <c r="L17" s="61" t="str">
        <f>IF('Verknüpfungen 2'!H1=3,'Berechnung 2'!K23,IF(L13&lt;1500,"keine PV!",IF('Verknüpfungen 2'!H$1=1,"",Beitragsberechnung!J17)))</f>
        <v/>
      </c>
      <c r="M17" s="61" t="str">
        <f>IF(L17="","",IF(L17="keine PV!",0,ROUND(L17*I17,2)))</f>
        <v/>
      </c>
      <c r="N17" s="92"/>
      <c r="O17" s="110"/>
      <c r="P17" s="115" t="str">
        <f>IF(J17="","",K17-D17)</f>
        <v/>
      </c>
      <c r="Q17" s="115" t="str">
        <f>IF(J5="","",IF(M17="",0,M17)-IF(F17="",0,F17))</f>
        <v/>
      </c>
      <c r="R17" s="115" t="str">
        <f>IF(J17="","",P17+Q17)</f>
        <v/>
      </c>
      <c r="S17" s="110"/>
      <c r="T17" s="110"/>
      <c r="U17" s="110"/>
    </row>
    <row r="18" spans="1:21" ht="16.5" customHeight="1" x14ac:dyDescent="0.25">
      <c r="A18" s="66"/>
      <c r="B18" s="90" t="s">
        <v>107</v>
      </c>
      <c r="C18" s="71"/>
      <c r="D18" s="62" t="str">
        <f>IF(C5="","",SUM(D15:D17))</f>
        <v/>
      </c>
      <c r="E18" s="72"/>
      <c r="F18" s="63" t="str">
        <f>IF(E17="","",SUM(F15:F17))</f>
        <v/>
      </c>
      <c r="G18" s="66"/>
      <c r="H18" s="92"/>
      <c r="I18" s="90" t="s">
        <v>107</v>
      </c>
      <c r="J18" s="96"/>
      <c r="K18" s="62" t="str">
        <f>IF(J5="","",SUM(K15:K17))</f>
        <v/>
      </c>
      <c r="L18" s="98"/>
      <c r="M18" s="63" t="str">
        <f>IF(L17="","",SUM(M15:M17))</f>
        <v/>
      </c>
      <c r="N18" s="92"/>
      <c r="O18" s="110"/>
      <c r="P18" s="117" t="str">
        <f>IF(J5="","",K18-D18)</f>
        <v/>
      </c>
      <c r="Q18" s="117" t="str">
        <f>IF(J5="","",IF(M18="",0,M18)-IF(F18="",0,F18))</f>
        <v/>
      </c>
      <c r="R18" s="117" t="str">
        <f>IF(P18="","",P18+Q18)</f>
        <v/>
      </c>
      <c r="S18" s="110"/>
      <c r="T18" s="110"/>
      <c r="U18" s="110"/>
    </row>
    <row r="19" spans="1:21" ht="16.5" customHeight="1" x14ac:dyDescent="0.25">
      <c r="A19" s="66"/>
      <c r="B19" s="89" t="str">
        <f>IF('Verknüpfungen 1'!$A$12=TRUE,"Beitrag pro Quartal","Beitrag pro Monat")</f>
        <v>Beitrag pro Monat</v>
      </c>
      <c r="C19" s="66"/>
      <c r="D19" s="503" t="str">
        <f>IF(D18="","",IF('Verknüpfungen 1'!$A$12=TRUE,3,1)*(D18+IF(F18="",0,F18)))</f>
        <v/>
      </c>
      <c r="E19" s="504"/>
      <c r="F19" s="504"/>
      <c r="G19" s="66"/>
      <c r="H19" s="92"/>
      <c r="I19" s="97" t="str">
        <f>IF('Verknüpfungen 2'!$A$12=TRUE,"Beitrag pro Quartal","Beitrag pro Monat")</f>
        <v>Beitrag pro Monat</v>
      </c>
      <c r="J19" s="92"/>
      <c r="K19" s="503" t="str">
        <f>IF(J5="","",IF('Verknüpfungen 2'!$A$12=TRUE,3,1)*(K18+IF(M18="",0,M18)))</f>
        <v/>
      </c>
      <c r="L19" s="504"/>
      <c r="M19" s="504"/>
      <c r="N19" s="92"/>
      <c r="O19" s="110"/>
      <c r="P19" s="495" t="str">
        <f>IF(J5="","",K19-D19)</f>
        <v/>
      </c>
      <c r="Q19" s="495"/>
      <c r="R19" s="495"/>
      <c r="S19" s="110"/>
      <c r="T19" s="110"/>
      <c r="U19" s="110"/>
    </row>
    <row r="20" spans="1:21" ht="16.5" customHeight="1" x14ac:dyDescent="0.25">
      <c r="A20" s="66"/>
      <c r="B20" s="66"/>
      <c r="C20" s="66"/>
      <c r="D20" s="66"/>
      <c r="E20" s="66"/>
      <c r="F20" s="66"/>
      <c r="G20" s="66"/>
      <c r="H20" s="92"/>
      <c r="I20" s="92"/>
      <c r="J20" s="92"/>
      <c r="K20" s="92"/>
      <c r="L20" s="92"/>
      <c r="M20" s="92"/>
      <c r="N20" s="92"/>
      <c r="O20" s="110"/>
      <c r="P20" s="113"/>
      <c r="Q20" s="113"/>
      <c r="R20" s="113"/>
      <c r="S20" s="110"/>
      <c r="T20" s="110"/>
      <c r="U20" s="110"/>
    </row>
    <row r="21" spans="1:21" ht="16.5" customHeight="1" x14ac:dyDescent="0.25">
      <c r="A21" s="79" t="s">
        <v>104</v>
      </c>
      <c r="B21" s="80"/>
      <c r="C21" s="66"/>
      <c r="D21" s="66"/>
      <c r="E21" s="66"/>
      <c r="F21" s="90" t="s">
        <v>107</v>
      </c>
      <c r="G21" s="66"/>
      <c r="H21" s="92"/>
      <c r="I21" s="93"/>
      <c r="J21" s="92"/>
      <c r="K21" s="92"/>
      <c r="L21" s="92"/>
      <c r="M21" s="90" t="s">
        <v>107</v>
      </c>
      <c r="N21" s="92"/>
      <c r="O21" s="110"/>
      <c r="P21" s="113"/>
      <c r="Q21" s="113"/>
      <c r="R21" s="113"/>
      <c r="S21" s="110"/>
      <c r="T21" s="110"/>
      <c r="U21" s="110"/>
    </row>
    <row r="22" spans="1:21" ht="16.5" customHeight="1" x14ac:dyDescent="0.25">
      <c r="A22" s="66"/>
      <c r="B22" s="66"/>
      <c r="C22" s="506" t="str">
        <f>IF('Verknüpfungen 1'!H1=4,IF('Verknüpfungen 1'!H7&gt;1,"bei Betriebsführer 1",""),"")</f>
        <v/>
      </c>
      <c r="D22" s="506"/>
      <c r="E22" s="66"/>
      <c r="F22" s="66"/>
      <c r="G22" s="66"/>
      <c r="H22" s="92"/>
      <c r="I22" s="92"/>
      <c r="J22" s="493" t="str">
        <f>IF('Verknüpfungen 2'!H1=4,IF('Verknüpfungen 2'!H7&gt;1,"bei Betriebsführer 1",""),"")</f>
        <v/>
      </c>
      <c r="K22" s="493"/>
      <c r="L22" s="92"/>
      <c r="M22" s="92"/>
      <c r="N22" s="92"/>
      <c r="O22" s="110"/>
      <c r="P22" s="113"/>
      <c r="Q22" s="113"/>
      <c r="R22" s="113"/>
      <c r="S22" s="110"/>
      <c r="T22" s="110"/>
      <c r="U22" s="110"/>
    </row>
    <row r="23" spans="1:21" ht="16.5" customHeight="1" x14ac:dyDescent="0.25">
      <c r="A23" s="79" t="s">
        <v>79</v>
      </c>
      <c r="B23" s="81"/>
      <c r="C23" s="505" t="str">
        <f>IF('Verknüpfungen 1'!H7=1,"",VLOOKUP('Verknüpfungen 1'!$H$7,'Verknüpfungen 1'!$H$8:$K$12,3))</f>
        <v>hbf. besch. Kind</v>
      </c>
      <c r="D23" s="505"/>
      <c r="E23" s="505" t="str">
        <f>IF('Verknüpfungen 1'!H7=1,"",VLOOKUP('Verknüpfungen 1'!$H$7,'Verknüpfungen 1'!$H$8:$K$11,4))</f>
        <v>---</v>
      </c>
      <c r="F23" s="505"/>
      <c r="G23" s="66"/>
      <c r="H23" s="92"/>
      <c r="I23" s="93"/>
      <c r="J23" s="505" t="str">
        <f>IF('Verknüpfungen 2'!H7=1,"",VLOOKUP('Verknüpfungen 2'!$H$7,'Verknüpfungen 2'!$H$8:$K$12,3))</f>
        <v/>
      </c>
      <c r="K23" s="505"/>
      <c r="L23" s="505" t="str">
        <f>IF('Verknüpfungen 2'!H7=1,"",VLOOKUP('Verknüpfungen 2'!$H$7,'Verknüpfungen 2'!$H$8:$K$11,4))</f>
        <v/>
      </c>
      <c r="M23" s="505"/>
      <c r="N23" s="92"/>
      <c r="O23" s="110"/>
      <c r="P23" s="114" t="s">
        <v>114</v>
      </c>
      <c r="Q23" s="114" t="s">
        <v>115</v>
      </c>
      <c r="R23" s="114" t="s">
        <v>111</v>
      </c>
      <c r="S23" s="110"/>
      <c r="T23" s="110"/>
      <c r="U23" s="110"/>
    </row>
    <row r="24" spans="1:21" ht="16.5" customHeight="1" x14ac:dyDescent="0.25">
      <c r="A24" s="78" t="s">
        <v>86</v>
      </c>
      <c r="B24" s="83">
        <f>B16</f>
        <v>6.8000000000000005E-2</v>
      </c>
      <c r="C24" s="82" t="e">
        <f>IF('Verknüpfungen 1'!H7=1,"",IF('Verknüpfungen 1'!H7=5,'Berechnung 1'!L24,IF('Verknüpfungen 1'!H7=3,'Berechnung 1'!L26,'Berechnung 1'!L25)))</f>
        <v>#VALUE!</v>
      </c>
      <c r="D24" s="82" t="e">
        <f>IF(C24="","",ROUND(ROUND(C24*B24,2)/IF('Verknüpfungen 1'!H7=4,2,1),2))</f>
        <v>#VALUE!</v>
      </c>
      <c r="E24" s="82" t="str">
        <f>IF('Verknüpfungen 1'!H7=3,Beitragsberechnung!C24,"")</f>
        <v/>
      </c>
      <c r="F24" s="82" t="str">
        <f>IF(E24="","",ROUND(E24*B24,2))</f>
        <v/>
      </c>
      <c r="G24" s="66"/>
      <c r="H24" s="92"/>
      <c r="I24" s="105">
        <f>I16</f>
        <v>6.8000000000000005E-2</v>
      </c>
      <c r="J24" s="82" t="str">
        <f>IF('Verknüpfungen 2'!H7=1,"",IF('Verknüpfungen 2'!H7=5,'Berechnung 2'!L24,IF('Verknüpfungen 2'!H7=3,'Berechnung 2'!L26,'Berechnung 2'!L25)))</f>
        <v/>
      </c>
      <c r="K24" s="82" t="str">
        <f>IF(J24="","",ROUND(ROUND(J24*I24,2)/IF('Verknüpfungen 2'!H7=4,2,1),2))</f>
        <v/>
      </c>
      <c r="L24" s="82" t="str">
        <f>IF('Verknüpfungen 2'!H7=3,Beitragsberechnung!J24,"")</f>
        <v/>
      </c>
      <c r="M24" s="82" t="str">
        <f>IF(L24="","",ROUND(L24*I24,2))</f>
        <v/>
      </c>
      <c r="N24" s="92"/>
      <c r="O24" s="110"/>
      <c r="P24" s="115" t="str">
        <f>IF(K24="","",K24-D24)</f>
        <v/>
      </c>
      <c r="Q24" s="115" t="str">
        <f>IF(F24="",IF(M24="","",M24),IF(M24="",-F24,M24-F24))</f>
        <v/>
      </c>
      <c r="R24" s="115" t="str">
        <f>IF(P24="","",P24+IF(Q24="",0,Q24))</f>
        <v/>
      </c>
      <c r="S24" s="110"/>
      <c r="T24" s="110"/>
      <c r="U24" s="110"/>
    </row>
    <row r="25" spans="1:21" ht="16.5" customHeight="1" x14ac:dyDescent="0.25">
      <c r="A25" s="78" t="s">
        <v>87</v>
      </c>
      <c r="B25" s="83">
        <f>B17</f>
        <v>0.17</v>
      </c>
      <c r="C25" s="82" t="e">
        <f>IF('Verknüpfungen 1'!H7=1,"",IF('Verknüpfungen 1'!H7=5,'Berechnung 1'!K24,IF('Verknüpfungen 1'!H7=3,'Berechnung 1'!K26,'Berechnung 1'!K25)))</f>
        <v>#VALUE!</v>
      </c>
      <c r="D25" s="82" t="e">
        <f>IF(C25="","",ROUND(ROUND(C25*B25,2)/IF('Verknüpfungen 1'!H7=4,2,1),2))</f>
        <v>#VALUE!</v>
      </c>
      <c r="E25" s="82" t="str">
        <f>IF('Verknüpfungen 1'!H7=3,Beitragsberechnung!C25,"")</f>
        <v/>
      </c>
      <c r="F25" s="82" t="str">
        <f>IF(E25="","",ROUND(E25*B25,2))</f>
        <v/>
      </c>
      <c r="G25" s="66"/>
      <c r="H25" s="92"/>
      <c r="I25" s="83">
        <f>I17</f>
        <v>0.17</v>
      </c>
      <c r="J25" s="82" t="str">
        <f>IF('Verknüpfungen 2'!H7=1,"",IF('Verknüpfungen 2'!H7=5,'Berechnung 2'!K24,IF('Verknüpfungen 2'!H7=3,'Berechnung 2'!K26,'Berechnung 2'!K25)))</f>
        <v/>
      </c>
      <c r="K25" s="82" t="str">
        <f>IF(J25="","",ROUND(ROUND(J25*I25,2)/IF('Verknüpfungen 2'!H7=4,2,1),2))</f>
        <v/>
      </c>
      <c r="L25" s="82" t="str">
        <f>IF('Verknüpfungen 2'!H7=3,Beitragsberechnung!J25,"")</f>
        <v/>
      </c>
      <c r="M25" s="82" t="str">
        <f>IF(L25="","",ROUND(L25*I25,2))</f>
        <v/>
      </c>
      <c r="N25" s="92"/>
      <c r="O25" s="110"/>
      <c r="P25" s="115" t="str">
        <f>IF(K25="","",K25-D25)</f>
        <v/>
      </c>
      <c r="Q25" s="115" t="str">
        <f>IF(F25="",IF(M25="","",M25),IF(M25="",-F25,M25-F25))</f>
        <v/>
      </c>
      <c r="R25" s="115" t="str">
        <f>IF(P25="","",P25+IF(Q25="",0,Q25))</f>
        <v/>
      </c>
      <c r="S25" s="110"/>
      <c r="T25" s="110"/>
      <c r="U25" s="110"/>
    </row>
    <row r="26" spans="1:21" ht="16.5" customHeight="1" x14ac:dyDescent="0.25">
      <c r="A26" s="66"/>
      <c r="B26" s="90" t="s">
        <v>107</v>
      </c>
      <c r="C26" s="120" t="str">
        <f>IF('Verknüpfungen 1'!H7=4,"Halber Beitrag bei Kind unter 18","")</f>
        <v/>
      </c>
      <c r="D26" s="91" t="e">
        <f>IF(C25="","",SUM(D24:D25))</f>
        <v>#VALUE!</v>
      </c>
      <c r="E26" s="71"/>
      <c r="F26" s="91" t="str">
        <f>IF(E25="","",SUM(F24:F25))</f>
        <v/>
      </c>
      <c r="G26" s="66"/>
      <c r="H26" s="92"/>
      <c r="I26" s="90" t="s">
        <v>107</v>
      </c>
      <c r="J26" s="119" t="str">
        <f>IF('Verknüpfungen 2'!H7=4,"Halber Beitrag bei Kind unter 18","")</f>
        <v/>
      </c>
      <c r="K26" s="91" t="str">
        <f>IF(J25="","",SUM(K24:K25))</f>
        <v/>
      </c>
      <c r="L26" s="96"/>
      <c r="M26" s="91" t="str">
        <f>IF(L25="","",SUM(M24:M25))</f>
        <v/>
      </c>
      <c r="N26" s="92"/>
      <c r="O26" s="110"/>
      <c r="P26" s="117" t="str">
        <f>IF(K26="","",K26-D26)</f>
        <v/>
      </c>
      <c r="Q26" s="117" t="str">
        <f>IF(F26="",IF(M26="","",M26),IF(M26="",-F26,M26-F26))</f>
        <v/>
      </c>
      <c r="R26" s="117" t="str">
        <f>IF(P26="","",P26+IF(Q26="",0,Q26))</f>
        <v/>
      </c>
      <c r="S26" s="110"/>
      <c r="T26" s="110"/>
      <c r="U26" s="110"/>
    </row>
    <row r="27" spans="1:21" ht="16.5" customHeight="1" x14ac:dyDescent="0.25">
      <c r="A27" s="66"/>
      <c r="B27" s="89" t="str">
        <f>IF('Verknüpfungen 1'!$A$12=TRUE,"Beitrag pro Quartal","Beitrag pro Monat")</f>
        <v>Beitrag pro Monat</v>
      </c>
      <c r="C27" s="71"/>
      <c r="D27" s="491" t="e">
        <f>IF('Verknüpfungen 1'!H7=1,"",IF('Verknüpfungen 1'!$A$12=TRUE,3,1)*(D26+IF(F26="",0,F26)))</f>
        <v>#VALUE!</v>
      </c>
      <c r="E27" s="492"/>
      <c r="F27" s="492"/>
      <c r="G27" s="66"/>
      <c r="H27" s="92"/>
      <c r="I27" s="97" t="str">
        <f>IF('Verknüpfungen 2'!$A$12=TRUE,"Beitrag pro Quartal","Beitrag pro Monat")</f>
        <v>Beitrag pro Monat</v>
      </c>
      <c r="J27" s="96"/>
      <c r="K27" s="491" t="str">
        <f>IF('Verknüpfungen 2'!H7=1,"",IF('Verknüpfungen 2'!$A$12=TRUE,3,1)*(K26+IF(M26="",0,M26)))</f>
        <v/>
      </c>
      <c r="L27" s="492"/>
      <c r="M27" s="492"/>
      <c r="N27" s="92"/>
      <c r="O27" s="110"/>
      <c r="P27" s="495" t="str">
        <f>IF(K27="","",K27-D27)</f>
        <v/>
      </c>
      <c r="Q27" s="495"/>
      <c r="R27" s="495"/>
      <c r="S27" s="110"/>
      <c r="T27" s="110"/>
      <c r="U27" s="110"/>
    </row>
    <row r="28" spans="1:21" ht="16.5" customHeight="1" x14ac:dyDescent="0.25">
      <c r="A28" s="66"/>
      <c r="B28" s="66"/>
      <c r="C28" s="71"/>
      <c r="D28" s="71"/>
      <c r="E28" s="71"/>
      <c r="F28" s="71"/>
      <c r="G28" s="66"/>
      <c r="H28" s="92"/>
      <c r="I28" s="92"/>
      <c r="J28" s="96"/>
      <c r="K28" s="96"/>
      <c r="L28" s="96"/>
      <c r="M28" s="96"/>
      <c r="N28" s="92"/>
      <c r="O28" s="110"/>
      <c r="P28" s="113"/>
      <c r="Q28" s="113"/>
      <c r="R28" s="113"/>
      <c r="S28" s="110"/>
      <c r="T28" s="110"/>
      <c r="U28" s="110"/>
    </row>
    <row r="29" spans="1:21" ht="16.5" customHeight="1" x14ac:dyDescent="0.25">
      <c r="A29" s="68" t="str">
        <f>"Beitragsvorschreibung insgesamt pro "&amp;IF('Verknüpfungen 1'!A12=TRUE,"Quartal","Monat")</f>
        <v>Beitragsvorschreibung insgesamt pro Monat</v>
      </c>
      <c r="B29" s="106"/>
      <c r="C29" s="107"/>
      <c r="D29" s="488" t="str">
        <f>IF(D19="","",D19+IF(D27="",0,D27))</f>
        <v/>
      </c>
      <c r="E29" s="489"/>
      <c r="F29" s="490"/>
      <c r="G29" s="66"/>
      <c r="H29" s="92"/>
      <c r="I29" s="99"/>
      <c r="J29" s="100"/>
      <c r="K29" s="488" t="str">
        <f>IF(J5="","",K19+IF(K27="",0,K27))</f>
        <v/>
      </c>
      <c r="L29" s="489"/>
      <c r="M29" s="490"/>
      <c r="N29" s="92"/>
      <c r="O29" s="110"/>
      <c r="P29" s="495" t="str">
        <f>IF(J5="","",K29-D29)</f>
        <v/>
      </c>
      <c r="Q29" s="495"/>
      <c r="R29" s="495"/>
      <c r="S29" s="110"/>
      <c r="T29" s="110"/>
      <c r="U29" s="110"/>
    </row>
    <row r="30" spans="1:21" ht="16.5" customHeight="1" x14ac:dyDescent="0.25">
      <c r="A30" s="66"/>
      <c r="B30" s="66"/>
      <c r="C30" s="66"/>
      <c r="D30" s="66"/>
      <c r="E30" s="66"/>
      <c r="F30" s="66"/>
      <c r="G30" s="66"/>
      <c r="H30" s="92"/>
      <c r="I30" s="92"/>
      <c r="J30" s="92"/>
      <c r="K30" s="92"/>
      <c r="L30" s="92"/>
      <c r="M30" s="92"/>
      <c r="N30" s="92"/>
      <c r="O30" s="110"/>
      <c r="P30" s="113"/>
      <c r="Q30" s="113"/>
      <c r="R30" s="113"/>
      <c r="S30" s="110"/>
      <c r="T30" s="110"/>
      <c r="U30" s="110"/>
    </row>
    <row r="31" spans="1:21" ht="16.5" customHeight="1" x14ac:dyDescent="0.25">
      <c r="A31" s="66"/>
      <c r="B31" s="66"/>
      <c r="C31" s="66"/>
      <c r="D31" s="66"/>
      <c r="E31" s="66"/>
      <c r="F31" s="66"/>
      <c r="G31" s="66"/>
      <c r="H31" s="92"/>
      <c r="I31" s="92"/>
      <c r="J31" s="92"/>
      <c r="K31" s="92"/>
      <c r="L31" s="92"/>
      <c r="M31" s="92"/>
      <c r="N31" s="92"/>
      <c r="O31" s="110"/>
      <c r="P31" s="113"/>
      <c r="Q31" s="113"/>
      <c r="R31" s="113"/>
      <c r="S31" s="110"/>
      <c r="T31" s="110"/>
      <c r="U31" s="110"/>
    </row>
    <row r="32" spans="1:21" ht="16.5" customHeight="1" x14ac:dyDescent="0.25">
      <c r="A32" s="66"/>
      <c r="B32" s="66"/>
      <c r="C32" s="66"/>
      <c r="D32" s="66"/>
      <c r="E32" s="66"/>
      <c r="F32" s="66"/>
      <c r="G32" s="66"/>
      <c r="H32" s="92"/>
      <c r="I32" s="92"/>
      <c r="J32" s="92"/>
      <c r="K32" s="92"/>
      <c r="L32" s="92"/>
      <c r="M32" s="92"/>
      <c r="N32" s="92"/>
      <c r="O32" s="110"/>
      <c r="P32" s="113"/>
      <c r="Q32" s="113"/>
      <c r="R32" s="113"/>
      <c r="S32" s="110"/>
      <c r="T32" s="110"/>
      <c r="U32" s="110"/>
    </row>
    <row r="33" spans="1:21" ht="16.5" customHeight="1" x14ac:dyDescent="0.25">
      <c r="A33" s="66"/>
      <c r="B33" s="66"/>
      <c r="C33" s="66"/>
      <c r="D33" s="66"/>
      <c r="E33" s="66"/>
      <c r="F33" s="66"/>
      <c r="G33" s="66"/>
      <c r="H33" s="92"/>
      <c r="I33" s="92"/>
      <c r="J33" s="92"/>
      <c r="K33" s="92"/>
      <c r="L33" s="92"/>
      <c r="M33" s="92"/>
      <c r="N33" s="92"/>
      <c r="O33" s="110"/>
      <c r="P33" s="111"/>
      <c r="Q33" s="111"/>
      <c r="R33" s="111"/>
      <c r="S33" s="110"/>
      <c r="T33" s="110"/>
      <c r="U33" s="110"/>
    </row>
    <row r="34" spans="1:21" ht="16.5" customHeight="1" x14ac:dyDescent="0.25">
      <c r="A34" s="66"/>
      <c r="B34" s="66"/>
      <c r="C34" s="66"/>
      <c r="D34" s="66"/>
      <c r="E34" s="66"/>
      <c r="F34" s="66"/>
      <c r="G34" s="66"/>
      <c r="H34" s="92"/>
      <c r="I34" s="92"/>
      <c r="J34" s="92"/>
      <c r="K34" s="92"/>
      <c r="L34" s="92"/>
      <c r="M34" s="92"/>
      <c r="N34" s="92"/>
      <c r="O34" s="110"/>
      <c r="P34" s="111"/>
      <c r="Q34" s="111"/>
      <c r="R34" s="111"/>
      <c r="S34" s="110"/>
      <c r="T34" s="110"/>
      <c r="U34" s="110"/>
    </row>
    <row r="35" spans="1:21" ht="16.5" customHeight="1" x14ac:dyDescent="0.25">
      <c r="A35" s="66"/>
      <c r="B35" s="66"/>
      <c r="C35" s="66"/>
      <c r="D35" s="66"/>
      <c r="E35" s="66"/>
      <c r="F35" s="66"/>
      <c r="G35" s="66"/>
      <c r="H35" s="92"/>
      <c r="I35" s="92"/>
      <c r="J35" s="92"/>
      <c r="K35" s="92"/>
      <c r="L35" s="92"/>
      <c r="M35" s="92"/>
      <c r="N35" s="92"/>
      <c r="O35" s="110"/>
      <c r="P35" s="111"/>
      <c r="Q35" s="111"/>
      <c r="R35" s="111"/>
      <c r="S35" s="110"/>
      <c r="T35" s="110"/>
      <c r="U35" s="110"/>
    </row>
    <row r="36" spans="1:21" ht="16.5" customHeight="1" x14ac:dyDescent="0.25">
      <c r="A36" s="66"/>
      <c r="B36" s="66"/>
      <c r="C36" s="66"/>
      <c r="D36" s="66"/>
      <c r="E36" s="66"/>
      <c r="F36" s="66"/>
      <c r="G36" s="66"/>
      <c r="H36" s="92"/>
      <c r="I36" s="92"/>
      <c r="J36" s="92"/>
      <c r="K36" s="92"/>
      <c r="L36" s="92"/>
      <c r="M36" s="92"/>
      <c r="N36" s="92"/>
      <c r="O36" s="110"/>
      <c r="P36" s="111"/>
      <c r="Q36" s="111"/>
      <c r="R36" s="111"/>
      <c r="S36" s="110"/>
      <c r="T36" s="110"/>
      <c r="U36" s="110"/>
    </row>
    <row r="37" spans="1:21" ht="16.5" customHeight="1" x14ac:dyDescent="0.25">
      <c r="A37" s="66"/>
      <c r="B37" s="66"/>
      <c r="C37" s="66"/>
      <c r="D37" s="66"/>
      <c r="E37" s="66"/>
      <c r="F37" s="66"/>
      <c r="G37" s="66"/>
      <c r="H37" s="92"/>
      <c r="I37" s="92"/>
      <c r="J37" s="92"/>
      <c r="K37" s="92"/>
      <c r="L37" s="92"/>
      <c r="M37" s="92"/>
      <c r="N37" s="92"/>
      <c r="O37" s="110"/>
      <c r="P37" s="111"/>
      <c r="Q37" s="111"/>
      <c r="R37" s="111"/>
      <c r="S37" s="110"/>
      <c r="T37" s="110"/>
      <c r="U37" s="110"/>
    </row>
    <row r="38" spans="1:21" ht="16.5" customHeight="1" x14ac:dyDescent="0.25">
      <c r="A38" s="66"/>
      <c r="B38" s="66"/>
      <c r="C38" s="66"/>
      <c r="D38" s="66"/>
      <c r="E38" s="66"/>
      <c r="F38" s="66"/>
      <c r="G38" s="66"/>
      <c r="H38" s="92"/>
      <c r="I38" s="92"/>
      <c r="J38" s="92"/>
      <c r="K38" s="92"/>
      <c r="L38" s="92"/>
      <c r="M38" s="92"/>
      <c r="N38" s="92"/>
      <c r="O38" s="110"/>
      <c r="P38" s="111"/>
      <c r="Q38" s="111"/>
      <c r="R38" s="111"/>
      <c r="S38" s="110"/>
      <c r="T38" s="110"/>
      <c r="U38" s="110"/>
    </row>
    <row r="39" spans="1:21" ht="16.5" customHeight="1" x14ac:dyDescent="0.25">
      <c r="A39" s="66"/>
      <c r="B39" s="66"/>
      <c r="C39" s="66"/>
      <c r="D39" s="66"/>
      <c r="E39" s="66"/>
      <c r="F39" s="66"/>
      <c r="G39" s="66"/>
      <c r="H39" s="92"/>
      <c r="I39" s="92"/>
      <c r="J39" s="92"/>
      <c r="K39" s="92"/>
      <c r="L39" s="92"/>
      <c r="M39" s="92"/>
      <c r="N39" s="92"/>
      <c r="O39" s="110"/>
      <c r="P39" s="111"/>
      <c r="Q39" s="111"/>
      <c r="R39" s="111"/>
      <c r="S39" s="110"/>
      <c r="T39" s="110"/>
      <c r="U39" s="110"/>
    </row>
    <row r="40" spans="1:21" ht="16.5" customHeight="1" x14ac:dyDescent="0.25">
      <c r="A40" s="66"/>
      <c r="B40" s="66"/>
      <c r="C40" s="66"/>
      <c r="D40" s="66"/>
      <c r="E40" s="66"/>
      <c r="F40" s="66"/>
      <c r="G40" s="66"/>
      <c r="H40" s="92"/>
      <c r="I40" s="92"/>
      <c r="J40" s="92"/>
      <c r="K40" s="92"/>
      <c r="L40" s="92"/>
      <c r="M40" s="92"/>
      <c r="N40" s="92"/>
      <c r="O40" s="110"/>
      <c r="P40" s="111"/>
      <c r="Q40" s="111"/>
      <c r="R40" s="111"/>
      <c r="S40" s="110"/>
      <c r="T40" s="110"/>
      <c r="U40" s="110"/>
    </row>
    <row r="41" spans="1:21" ht="16.5" customHeight="1" x14ac:dyDescent="0.25">
      <c r="A41" s="66"/>
      <c r="B41" s="66"/>
      <c r="C41" s="66"/>
      <c r="D41" s="66"/>
      <c r="E41" s="66"/>
      <c r="F41" s="66"/>
      <c r="G41" s="66"/>
      <c r="H41" s="92"/>
      <c r="I41" s="92"/>
      <c r="J41" s="92"/>
      <c r="K41" s="92"/>
      <c r="L41" s="92"/>
      <c r="M41" s="92"/>
      <c r="N41" s="92"/>
      <c r="O41" s="110"/>
      <c r="P41" s="111"/>
      <c r="Q41" s="111"/>
      <c r="R41" s="111"/>
      <c r="S41" s="110"/>
      <c r="T41" s="110"/>
      <c r="U41" s="110"/>
    </row>
  </sheetData>
  <mergeCells count="30">
    <mergeCell ref="P29:R29"/>
    <mergeCell ref="P27:R27"/>
    <mergeCell ref="P11:R11"/>
    <mergeCell ref="L13:M13"/>
    <mergeCell ref="C5:D5"/>
    <mergeCell ref="J5:K5"/>
    <mergeCell ref="J12:K12"/>
    <mergeCell ref="K19:M19"/>
    <mergeCell ref="J23:K23"/>
    <mergeCell ref="L23:M23"/>
    <mergeCell ref="J13:K13"/>
    <mergeCell ref="C23:D23"/>
    <mergeCell ref="E23:F23"/>
    <mergeCell ref="D19:F19"/>
    <mergeCell ref="C22:D22"/>
    <mergeCell ref="L15:M15"/>
    <mergeCell ref="A1:F1"/>
    <mergeCell ref="P19:R19"/>
    <mergeCell ref="I1:M1"/>
    <mergeCell ref="E12:F12"/>
    <mergeCell ref="E13:F13"/>
    <mergeCell ref="C13:D13"/>
    <mergeCell ref="C12:D12"/>
    <mergeCell ref="E15:F15"/>
    <mergeCell ref="L12:M12"/>
    <mergeCell ref="K29:M29"/>
    <mergeCell ref="K27:M27"/>
    <mergeCell ref="D27:F27"/>
    <mergeCell ref="J22:K22"/>
    <mergeCell ref="D29:F29"/>
  </mergeCells>
  <phoneticPr fontId="6"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7620</xdr:colOff>
                    <xdr:row>9</xdr:row>
                    <xdr:rowOff>7620</xdr:rowOff>
                  </from>
                  <to>
                    <xdr:col>4</xdr:col>
                    <xdr:colOff>685800</xdr:colOff>
                    <xdr:row>10</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7620</xdr:colOff>
                    <xdr:row>2</xdr:row>
                    <xdr:rowOff>0</xdr:rowOff>
                  </from>
                  <to>
                    <xdr:col>3</xdr:col>
                    <xdr:colOff>335280</xdr:colOff>
                    <xdr:row>3</xdr:row>
                    <xdr:rowOff>22860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2</xdr:col>
                    <xdr:colOff>0</xdr:colOff>
                    <xdr:row>20</xdr:row>
                    <xdr:rowOff>7620</xdr:rowOff>
                  </from>
                  <to>
                    <xdr:col>4</xdr:col>
                    <xdr:colOff>914400</xdr:colOff>
                    <xdr:row>21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601980</xdr:colOff>
                    <xdr:row>18</xdr:row>
                    <xdr:rowOff>0</xdr:rowOff>
                  </from>
                  <to>
                    <xdr:col>2</xdr:col>
                    <xdr:colOff>906780</xdr:colOff>
                    <xdr:row>19</xdr:row>
                    <xdr:rowOff>7620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601980</xdr:colOff>
                    <xdr:row>26</xdr:row>
                    <xdr:rowOff>0</xdr:rowOff>
                  </from>
                  <to>
                    <xdr:col>2</xdr:col>
                    <xdr:colOff>906780</xdr:colOff>
                    <xdr:row>27</xdr:row>
                    <xdr:rowOff>7620</xdr:rowOff>
                  </to>
                </anchor>
              </controlPr>
            </control>
          </mc:Choice>
        </mc:AlternateContent>
        <mc:AlternateContent xmlns:mc="http://schemas.openxmlformats.org/markup-compatibility/2006">
          <mc:Choice Requires="x14">
            <control shapeId="1031" r:id="rId9" name="Drop Down 7">
              <controlPr defaultSize="0" autoLine="0" autoPict="0">
                <anchor moveWithCells="1">
                  <from>
                    <xdr:col>9</xdr:col>
                    <xdr:colOff>7620</xdr:colOff>
                    <xdr:row>9</xdr:row>
                    <xdr:rowOff>7620</xdr:rowOff>
                  </from>
                  <to>
                    <xdr:col>11</xdr:col>
                    <xdr:colOff>685800</xdr:colOff>
                    <xdr:row>10</xdr:row>
                    <xdr:rowOff>0</xdr:rowOff>
                  </to>
                </anchor>
              </controlPr>
            </control>
          </mc:Choice>
        </mc:AlternateContent>
        <mc:AlternateContent xmlns:mc="http://schemas.openxmlformats.org/markup-compatibility/2006">
          <mc:Choice Requires="x14">
            <control shapeId="1032" r:id="rId10" name="Drop Down 8">
              <controlPr defaultSize="0" autoLine="0" autoPict="0">
                <anchor moveWithCells="1">
                  <from>
                    <xdr:col>9</xdr:col>
                    <xdr:colOff>7620</xdr:colOff>
                    <xdr:row>2</xdr:row>
                    <xdr:rowOff>0</xdr:rowOff>
                  </from>
                  <to>
                    <xdr:col>10</xdr:col>
                    <xdr:colOff>335280</xdr:colOff>
                    <xdr:row>3</xdr:row>
                    <xdr:rowOff>22860</xdr:rowOff>
                  </to>
                </anchor>
              </controlPr>
            </control>
          </mc:Choice>
        </mc:AlternateContent>
        <mc:AlternateContent xmlns:mc="http://schemas.openxmlformats.org/markup-compatibility/2006">
          <mc:Choice Requires="x14">
            <control shapeId="1033" r:id="rId11" name="Drop Down 9">
              <controlPr defaultSize="0" autoLine="0" autoPict="0">
                <anchor moveWithCells="1">
                  <from>
                    <xdr:col>9</xdr:col>
                    <xdr:colOff>0</xdr:colOff>
                    <xdr:row>20</xdr:row>
                    <xdr:rowOff>7620</xdr:rowOff>
                  </from>
                  <to>
                    <xdr:col>11</xdr:col>
                    <xdr:colOff>914400</xdr:colOff>
                    <xdr:row>21</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9</xdr:col>
                    <xdr:colOff>601980</xdr:colOff>
                    <xdr:row>18</xdr:row>
                    <xdr:rowOff>0</xdr:rowOff>
                  </from>
                  <to>
                    <xdr:col>9</xdr:col>
                    <xdr:colOff>906780</xdr:colOff>
                    <xdr:row>19</xdr:row>
                    <xdr:rowOff>7620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9</xdr:col>
                    <xdr:colOff>601980</xdr:colOff>
                    <xdr:row>26</xdr:row>
                    <xdr:rowOff>0</xdr:rowOff>
                  </from>
                  <to>
                    <xdr:col>9</xdr:col>
                    <xdr:colOff>906780</xdr:colOff>
                    <xdr:row>27</xdr:row>
                    <xdr:rowOff>7620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47"/>
  <sheetViews>
    <sheetView zoomScaleNormal="100" workbookViewId="0">
      <selection activeCell="A8" sqref="A8"/>
    </sheetView>
  </sheetViews>
  <sheetFormatPr baseColWidth="10" defaultColWidth="11" defaultRowHeight="13.8" x14ac:dyDescent="0.25"/>
  <cols>
    <col min="1" max="2" width="11" style="1"/>
    <col min="3" max="3" width="17.8984375" style="2" customWidth="1"/>
    <col min="4" max="4" width="11" style="1"/>
    <col min="5" max="5" width="17.8984375" style="1" customWidth="1"/>
    <col min="6" max="7" width="11" style="1"/>
    <col min="8" max="8" width="6.59765625" style="1" customWidth="1"/>
    <col min="9" max="9" width="43" style="1" customWidth="1"/>
    <col min="10" max="11" width="23.59765625" style="1" customWidth="1"/>
    <col min="12" max="16384" width="11" style="1"/>
  </cols>
  <sheetData>
    <row r="1" spans="1:14" x14ac:dyDescent="0.25">
      <c r="A1" s="41" t="s">
        <v>71</v>
      </c>
      <c r="C1" s="56" t="s">
        <v>70</v>
      </c>
      <c r="E1" s="41" t="s">
        <v>72</v>
      </c>
      <c r="G1" s="48">
        <v>1</v>
      </c>
      <c r="H1" s="127">
        <f>IF('Internetfenster 1'!$F$6="",1,'Verknüpfungen 1'!G1)</f>
        <v>1</v>
      </c>
      <c r="I1" s="41" t="s">
        <v>76</v>
      </c>
      <c r="J1" s="47" t="s">
        <v>81</v>
      </c>
      <c r="K1" s="47"/>
      <c r="M1" s="48">
        <v>11</v>
      </c>
      <c r="N1" s="50" t="s">
        <v>33</v>
      </c>
    </row>
    <row r="2" spans="1:14" x14ac:dyDescent="0.25">
      <c r="A2" s="42">
        <f>Beitragsberechnung!C3</f>
        <v>2024</v>
      </c>
      <c r="C2" s="57">
        <f>Beitragsberechnung!C8</f>
        <v>0</v>
      </c>
      <c r="E2" s="53" t="str">
        <f>Beitragsberechnung!C13</f>
        <v/>
      </c>
      <c r="H2" s="49">
        <v>1</v>
      </c>
      <c r="I2" s="46" t="s">
        <v>73</v>
      </c>
      <c r="J2" s="46" t="s">
        <v>77</v>
      </c>
      <c r="K2" s="52" t="s">
        <v>88</v>
      </c>
      <c r="M2" s="55">
        <v>1</v>
      </c>
      <c r="N2" s="42">
        <v>2014</v>
      </c>
    </row>
    <row r="3" spans="1:14" x14ac:dyDescent="0.25">
      <c r="C3" s="58">
        <v>-3700</v>
      </c>
      <c r="H3" s="49">
        <v>2</v>
      </c>
      <c r="I3" s="46" t="s">
        <v>74</v>
      </c>
      <c r="J3" s="46" t="s">
        <v>77</v>
      </c>
      <c r="K3" s="46" t="s">
        <v>65</v>
      </c>
      <c r="M3" s="54">
        <v>2</v>
      </c>
      <c r="N3" s="42">
        <v>2015</v>
      </c>
    </row>
    <row r="4" spans="1:14" x14ac:dyDescent="0.25">
      <c r="A4" s="143">
        <f ca="1">TODAY()</f>
        <v>45296</v>
      </c>
      <c r="C4" s="59">
        <f>IF(C2+C3&lt;0,0,C2+C3)</f>
        <v>0</v>
      </c>
      <c r="E4" s="29"/>
      <c r="H4" s="49">
        <v>3</v>
      </c>
      <c r="I4" s="46" t="s">
        <v>75</v>
      </c>
      <c r="J4" s="46" t="s">
        <v>77</v>
      </c>
      <c r="K4" s="46" t="s">
        <v>65</v>
      </c>
      <c r="M4" s="54">
        <v>3</v>
      </c>
      <c r="N4" s="42">
        <v>2016</v>
      </c>
    </row>
    <row r="5" spans="1:14" x14ac:dyDescent="0.25">
      <c r="A5" s="125">
        <f ca="1">IF(VALUE(RIGHT(TEXT(A4,"TT.MM.JJJJ"),4))&lt;A8,A8,VALUE(RIGHT(TEXT(A4,"TT.MM.JJJJ"),4)))</f>
        <v>2024</v>
      </c>
      <c r="C5" s="57">
        <f>Beitragsberechnung!D8</f>
        <v>0</v>
      </c>
      <c r="E5" s="2"/>
      <c r="H5" s="49">
        <v>4</v>
      </c>
      <c r="I5" s="46" t="s">
        <v>89</v>
      </c>
      <c r="J5" s="46" t="s">
        <v>90</v>
      </c>
      <c r="K5" s="46" t="s">
        <v>91</v>
      </c>
      <c r="M5" s="54">
        <v>4</v>
      </c>
      <c r="N5" s="42">
        <v>2017</v>
      </c>
    </row>
    <row r="6" spans="1:14" x14ac:dyDescent="0.25">
      <c r="A6" s="128">
        <f ca="1">IF(A2&gt;A5,A5,A2)</f>
        <v>2024</v>
      </c>
      <c r="C6" s="58">
        <v>-3700</v>
      </c>
      <c r="M6" s="54">
        <v>5</v>
      </c>
      <c r="N6" s="42">
        <v>2018</v>
      </c>
    </row>
    <row r="7" spans="1:14" x14ac:dyDescent="0.25">
      <c r="C7" s="59">
        <f>IF(C5+C6&lt;0,0,C5+C6)</f>
        <v>0</v>
      </c>
      <c r="H7" s="48">
        <v>2</v>
      </c>
      <c r="I7" s="50" t="s">
        <v>80</v>
      </c>
      <c r="J7" s="47" t="s">
        <v>81</v>
      </c>
      <c r="K7" s="47"/>
      <c r="M7" s="54">
        <v>6</v>
      </c>
      <c r="N7" s="42">
        <v>2019</v>
      </c>
    </row>
    <row r="8" spans="1:14" x14ac:dyDescent="0.25">
      <c r="A8" s="195">
        <v>2023</v>
      </c>
      <c r="C8" s="59">
        <f>Beitragsberechnung!E8</f>
        <v>0</v>
      </c>
      <c r="H8" s="49">
        <v>1</v>
      </c>
      <c r="I8" s="46"/>
      <c r="J8" s="46"/>
      <c r="K8" s="52"/>
      <c r="M8" s="54">
        <v>7</v>
      </c>
      <c r="N8" s="42">
        <v>2020</v>
      </c>
    </row>
    <row r="9" spans="1:14" x14ac:dyDescent="0.25">
      <c r="A9" s="194" t="s">
        <v>182</v>
      </c>
      <c r="C9" s="56">
        <f>(C4+C7+C8)*0.3</f>
        <v>0</v>
      </c>
      <c r="H9" s="49">
        <v>2</v>
      </c>
      <c r="I9" s="46" t="s">
        <v>126</v>
      </c>
      <c r="J9" s="46" t="s">
        <v>100</v>
      </c>
      <c r="K9" s="52" t="s">
        <v>88</v>
      </c>
      <c r="M9" s="54">
        <v>8</v>
      </c>
      <c r="N9" s="42">
        <v>2021</v>
      </c>
    </row>
    <row r="10" spans="1:14" x14ac:dyDescent="0.25">
      <c r="H10" s="49">
        <v>3</v>
      </c>
      <c r="I10" s="46" t="s">
        <v>127</v>
      </c>
      <c r="J10" s="46" t="s">
        <v>100</v>
      </c>
      <c r="K10" s="46" t="s">
        <v>102</v>
      </c>
      <c r="M10" s="54">
        <v>9</v>
      </c>
      <c r="N10" s="42">
        <v>2022</v>
      </c>
    </row>
    <row r="11" spans="1:14" x14ac:dyDescent="0.25">
      <c r="H11" s="49">
        <v>4</v>
      </c>
      <c r="I11" s="46" t="s">
        <v>128</v>
      </c>
      <c r="J11" s="46" t="s">
        <v>101</v>
      </c>
      <c r="K11" s="52" t="s">
        <v>88</v>
      </c>
      <c r="M11" s="54">
        <v>10</v>
      </c>
      <c r="N11" s="42">
        <v>2023</v>
      </c>
    </row>
    <row r="12" spans="1:14" x14ac:dyDescent="0.25">
      <c r="A12" s="87" t="b">
        <v>0</v>
      </c>
      <c r="B12" s="88" t="s">
        <v>106</v>
      </c>
      <c r="H12" s="49">
        <v>5</v>
      </c>
      <c r="I12" s="46" t="s">
        <v>129</v>
      </c>
      <c r="J12" s="46" t="s">
        <v>103</v>
      </c>
      <c r="K12" s="52" t="s">
        <v>88</v>
      </c>
      <c r="M12" s="54">
        <v>11</v>
      </c>
      <c r="N12" s="42">
        <v>2024</v>
      </c>
    </row>
    <row r="13" spans="1:14" x14ac:dyDescent="0.25">
      <c r="M13" s="54">
        <v>12</v>
      </c>
      <c r="N13" s="42">
        <v>2025</v>
      </c>
    </row>
    <row r="14" spans="1:14" x14ac:dyDescent="0.25">
      <c r="I14" s="128" t="str">
        <f>IF(VLOOKUP(H7,H8:I12,2)=0,"",VLOOKUP(H7,H8:I12,2))</f>
        <v>hauptberuflich beschäftigtes Kind</v>
      </c>
      <c r="M14" s="54">
        <v>13</v>
      </c>
      <c r="N14" s="42">
        <v>2026</v>
      </c>
    </row>
    <row r="15" spans="1:14" x14ac:dyDescent="0.25">
      <c r="M15" s="54">
        <v>14</v>
      </c>
      <c r="N15" s="42">
        <v>2027</v>
      </c>
    </row>
    <row r="16" spans="1:14" x14ac:dyDescent="0.25">
      <c r="M16" s="54">
        <v>15</v>
      </c>
      <c r="N16" s="42">
        <v>2028</v>
      </c>
    </row>
    <row r="17" spans="1:14" x14ac:dyDescent="0.25">
      <c r="J17" s="184"/>
      <c r="M17" s="54">
        <v>16</v>
      </c>
      <c r="N17" s="42">
        <v>2029</v>
      </c>
    </row>
    <row r="18" spans="1:14" x14ac:dyDescent="0.25">
      <c r="A18" s="121" t="s">
        <v>121</v>
      </c>
      <c r="E18" s="41" t="s">
        <v>120</v>
      </c>
      <c r="G18" s="54">
        <v>1</v>
      </c>
      <c r="H18" s="127">
        <v>1</v>
      </c>
      <c r="I18" s="50" t="s">
        <v>211</v>
      </c>
      <c r="J18" s="190" t="s">
        <v>189</v>
      </c>
      <c r="K18" s="41" t="s">
        <v>198</v>
      </c>
      <c r="M18" s="54">
        <v>17</v>
      </c>
      <c r="N18" s="42">
        <v>2030</v>
      </c>
    </row>
    <row r="19" spans="1:14" x14ac:dyDescent="0.25">
      <c r="A19" s="125" t="b">
        <f>ISNUMBER('Internetfenster 1'!J6)</f>
        <v>0</v>
      </c>
      <c r="E19" s="125" t="b">
        <f>ISNUMBER('Internetfenster 1'!F6)</f>
        <v>0</v>
      </c>
      <c r="H19" s="49">
        <v>1</v>
      </c>
      <c r="I19" s="183" t="s">
        <v>212</v>
      </c>
      <c r="J19" s="64" t="b">
        <v>0</v>
      </c>
      <c r="K19" s="181">
        <v>1</v>
      </c>
    </row>
    <row r="20" spans="1:14" x14ac:dyDescent="0.25">
      <c r="A20" s="125" t="b">
        <f>ISNUMBER('Internetfenster 1'!L6)</f>
        <v>0</v>
      </c>
      <c r="H20" s="49">
        <v>2</v>
      </c>
      <c r="I20" s="183" t="s">
        <v>213</v>
      </c>
      <c r="J20" s="191" t="b">
        <v>0</v>
      </c>
      <c r="K20" s="181">
        <v>2</v>
      </c>
    </row>
    <row r="21" spans="1:14" x14ac:dyDescent="0.25">
      <c r="A21" s="125" t="b">
        <f>ISNUMBER('Internetfenster 1'!N6)</f>
        <v>0</v>
      </c>
      <c r="H21" s="49">
        <v>3</v>
      </c>
      <c r="I21" s="183" t="s">
        <v>214</v>
      </c>
      <c r="J21" s="191" t="b">
        <v>0</v>
      </c>
      <c r="K21" s="181">
        <v>3</v>
      </c>
    </row>
    <row r="22" spans="1:14" x14ac:dyDescent="0.25">
      <c r="H22" s="49">
        <v>4</v>
      </c>
      <c r="I22" s="183" t="s">
        <v>215</v>
      </c>
      <c r="J22" s="127" t="b">
        <v>0</v>
      </c>
      <c r="K22" s="181">
        <v>4</v>
      </c>
    </row>
    <row r="23" spans="1:14" x14ac:dyDescent="0.25">
      <c r="G23" s="54">
        <f>G18+1</f>
        <v>2</v>
      </c>
      <c r="H23" s="127">
        <v>1</v>
      </c>
      <c r="I23" s="50" t="s">
        <v>211</v>
      </c>
      <c r="J23" s="127" t="b">
        <v>0</v>
      </c>
      <c r="K23" s="181">
        <v>5</v>
      </c>
    </row>
    <row r="24" spans="1:14" x14ac:dyDescent="0.25">
      <c r="A24" s="41" t="s">
        <v>1</v>
      </c>
      <c r="B24" s="175">
        <v>1</v>
      </c>
      <c r="H24" s="49">
        <v>1</v>
      </c>
      <c r="I24" s="183" t="s">
        <v>212</v>
      </c>
      <c r="J24" s="127" t="b">
        <v>0</v>
      </c>
      <c r="K24" s="181">
        <v>6</v>
      </c>
    </row>
    <row r="25" spans="1:14" x14ac:dyDescent="0.25">
      <c r="A25" s="128">
        <v>1</v>
      </c>
      <c r="B25" s="128">
        <f>'Verknüpfungen 2'!A2-1</f>
        <v>2023</v>
      </c>
      <c r="H25" s="49">
        <v>2</v>
      </c>
      <c r="I25" s="46" t="s">
        <v>213</v>
      </c>
    </row>
    <row r="26" spans="1:14" x14ac:dyDescent="0.25">
      <c r="H26" s="49">
        <v>3</v>
      </c>
      <c r="I26" s="46" t="s">
        <v>214</v>
      </c>
      <c r="J26" s="54" t="b">
        <f>IF(H18&gt;1,FALSE,J19)</f>
        <v>0</v>
      </c>
      <c r="K26" s="181">
        <v>1</v>
      </c>
    </row>
    <row r="27" spans="1:14" x14ac:dyDescent="0.25">
      <c r="A27" s="41" t="s">
        <v>2</v>
      </c>
      <c r="B27" s="125">
        <v>1</v>
      </c>
      <c r="H27" s="49">
        <v>4</v>
      </c>
      <c r="I27" s="46" t="s">
        <v>215</v>
      </c>
      <c r="J27" s="54" t="b">
        <f>IF(H23&gt;1,FALSE,J20)</f>
        <v>0</v>
      </c>
      <c r="K27" s="181">
        <v>2</v>
      </c>
    </row>
    <row r="28" spans="1:14" x14ac:dyDescent="0.25">
      <c r="A28" s="128">
        <v>1</v>
      </c>
      <c r="B28" s="128">
        <f>'Verknüpfungen 2'!A2</f>
        <v>2024</v>
      </c>
      <c r="G28" s="54">
        <f>G23+1</f>
        <v>3</v>
      </c>
      <c r="H28" s="127">
        <v>1</v>
      </c>
      <c r="I28" s="50" t="s">
        <v>211</v>
      </c>
      <c r="J28" s="54" t="b">
        <f>IF(H28&gt;1,FALSE,J21)</f>
        <v>0</v>
      </c>
      <c r="K28" s="181">
        <v>3</v>
      </c>
    </row>
    <row r="29" spans="1:14" x14ac:dyDescent="0.25">
      <c r="H29" s="49">
        <v>1</v>
      </c>
      <c r="I29" s="46" t="s">
        <v>212</v>
      </c>
      <c r="J29" s="54" t="b">
        <f>IF(H33&gt;1,FALSE,J22)</f>
        <v>0</v>
      </c>
      <c r="K29" s="181">
        <v>4</v>
      </c>
    </row>
    <row r="30" spans="1:14" x14ac:dyDescent="0.25">
      <c r="H30" s="49">
        <v>2</v>
      </c>
      <c r="I30" s="46" t="s">
        <v>213</v>
      </c>
      <c r="J30" s="54" t="b">
        <f>IF(H38&gt;1,FALSE,J23)</f>
        <v>0</v>
      </c>
      <c r="K30" s="181">
        <v>5</v>
      </c>
    </row>
    <row r="31" spans="1:14" x14ac:dyDescent="0.25">
      <c r="H31" s="49">
        <v>3</v>
      </c>
      <c r="I31" s="46" t="s">
        <v>214</v>
      </c>
      <c r="J31" s="54" t="b">
        <f>IF(H43&gt;1,FALSE,J24)</f>
        <v>0</v>
      </c>
      <c r="K31" s="181">
        <v>6</v>
      </c>
    </row>
    <row r="32" spans="1:14" x14ac:dyDescent="0.25">
      <c r="H32" s="49">
        <v>4</v>
      </c>
      <c r="I32" s="46" t="s">
        <v>215</v>
      </c>
    </row>
    <row r="33" spans="7:9" x14ac:dyDescent="0.25">
      <c r="G33" s="54">
        <f>G28+1</f>
        <v>4</v>
      </c>
      <c r="H33" s="127">
        <v>1</v>
      </c>
      <c r="I33" s="50" t="s">
        <v>211</v>
      </c>
    </row>
    <row r="34" spans="7:9" x14ac:dyDescent="0.25">
      <c r="H34" s="49">
        <v>1</v>
      </c>
      <c r="I34" s="46" t="s">
        <v>212</v>
      </c>
    </row>
    <row r="35" spans="7:9" x14ac:dyDescent="0.25">
      <c r="H35" s="49">
        <v>2</v>
      </c>
      <c r="I35" s="46" t="s">
        <v>213</v>
      </c>
    </row>
    <row r="36" spans="7:9" x14ac:dyDescent="0.25">
      <c r="H36" s="49">
        <v>3</v>
      </c>
      <c r="I36" s="46" t="s">
        <v>214</v>
      </c>
    </row>
    <row r="37" spans="7:9" x14ac:dyDescent="0.25">
      <c r="H37" s="49">
        <v>4</v>
      </c>
      <c r="I37" s="46" t="s">
        <v>215</v>
      </c>
    </row>
    <row r="38" spans="7:9" x14ac:dyDescent="0.25">
      <c r="G38" s="54">
        <f>G33+1</f>
        <v>5</v>
      </c>
      <c r="H38" s="127">
        <v>1</v>
      </c>
      <c r="I38" s="50" t="s">
        <v>211</v>
      </c>
    </row>
    <row r="39" spans="7:9" x14ac:dyDescent="0.25">
      <c r="H39" s="49">
        <v>1</v>
      </c>
      <c r="I39" s="46" t="s">
        <v>212</v>
      </c>
    </row>
    <row r="40" spans="7:9" x14ac:dyDescent="0.25">
      <c r="H40" s="49">
        <v>2</v>
      </c>
      <c r="I40" s="46" t="s">
        <v>213</v>
      </c>
    </row>
    <row r="41" spans="7:9" x14ac:dyDescent="0.25">
      <c r="H41" s="49">
        <v>3</v>
      </c>
      <c r="I41" s="46" t="s">
        <v>214</v>
      </c>
    </row>
    <row r="42" spans="7:9" x14ac:dyDescent="0.25">
      <c r="H42" s="49">
        <v>4</v>
      </c>
      <c r="I42" s="46" t="s">
        <v>215</v>
      </c>
    </row>
    <row r="43" spans="7:9" x14ac:dyDescent="0.25">
      <c r="G43" s="54">
        <f>G38+1</f>
        <v>6</v>
      </c>
      <c r="H43" s="127">
        <v>1</v>
      </c>
      <c r="I43" s="50" t="s">
        <v>211</v>
      </c>
    </row>
    <row r="44" spans="7:9" x14ac:dyDescent="0.25">
      <c r="H44" s="49">
        <v>1</v>
      </c>
      <c r="I44" s="46" t="s">
        <v>212</v>
      </c>
    </row>
    <row r="45" spans="7:9" x14ac:dyDescent="0.25">
      <c r="H45" s="49">
        <v>2</v>
      </c>
      <c r="I45" s="46" t="s">
        <v>213</v>
      </c>
    </row>
    <row r="46" spans="7:9" x14ac:dyDescent="0.25">
      <c r="H46" s="49">
        <v>3</v>
      </c>
      <c r="I46" s="46" t="s">
        <v>214</v>
      </c>
    </row>
    <row r="47" spans="7:9" x14ac:dyDescent="0.25">
      <c r="H47" s="49">
        <v>4</v>
      </c>
      <c r="I47" s="46" t="s">
        <v>215</v>
      </c>
    </row>
  </sheetData>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21"/>
  <sheetViews>
    <sheetView zoomScaleNormal="100" workbookViewId="0">
      <selection activeCell="A2" sqref="A2"/>
    </sheetView>
  </sheetViews>
  <sheetFormatPr baseColWidth="10" defaultColWidth="11" defaultRowHeight="13.8" x14ac:dyDescent="0.25"/>
  <cols>
    <col min="1" max="2" width="11" style="1"/>
    <col min="3" max="3" width="17.8984375" style="2" customWidth="1"/>
    <col min="4" max="4" width="11" style="1"/>
    <col min="5" max="5" width="17.8984375" style="1" customWidth="1"/>
    <col min="6" max="7" width="11" style="1"/>
    <col min="8" max="8" width="6.59765625" style="1" customWidth="1"/>
    <col min="9" max="9" width="43" style="1" customWidth="1"/>
    <col min="10" max="11" width="23.59765625" style="1" customWidth="1"/>
    <col min="12" max="16384" width="11" style="1"/>
  </cols>
  <sheetData>
    <row r="1" spans="1:14" x14ac:dyDescent="0.25">
      <c r="A1" s="41" t="s">
        <v>71</v>
      </c>
      <c r="C1" s="56" t="s">
        <v>70</v>
      </c>
      <c r="E1" s="41" t="s">
        <v>72</v>
      </c>
      <c r="G1" s="48">
        <v>1</v>
      </c>
      <c r="H1" s="127">
        <f>IF('Internetfenster 2'!$F$6="",1,'Verknüpfungen 2'!G1)</f>
        <v>1</v>
      </c>
      <c r="I1" s="41" t="s">
        <v>76</v>
      </c>
      <c r="J1" s="47" t="s">
        <v>81</v>
      </c>
      <c r="K1" s="47"/>
      <c r="M1" s="48">
        <v>11</v>
      </c>
      <c r="N1" s="50" t="s">
        <v>33</v>
      </c>
    </row>
    <row r="2" spans="1:14" x14ac:dyDescent="0.25">
      <c r="A2" s="42">
        <f>Beitragsberechnung!J3</f>
        <v>2024</v>
      </c>
      <c r="C2" s="57">
        <f>Beitragsberechnung!J8</f>
        <v>0</v>
      </c>
      <c r="E2" s="53" t="str">
        <f>Beitragsberechnung!J13</f>
        <v/>
      </c>
      <c r="H2" s="49">
        <v>1</v>
      </c>
      <c r="I2" s="46" t="s">
        <v>73</v>
      </c>
      <c r="J2" s="46" t="s">
        <v>77</v>
      </c>
      <c r="K2" s="52" t="s">
        <v>88</v>
      </c>
      <c r="M2" s="55">
        <v>1</v>
      </c>
      <c r="N2" s="42">
        <v>2014</v>
      </c>
    </row>
    <row r="3" spans="1:14" x14ac:dyDescent="0.25">
      <c r="C3" s="58">
        <v>-3700</v>
      </c>
      <c r="H3" s="49">
        <v>2</v>
      </c>
      <c r="I3" s="46" t="s">
        <v>74</v>
      </c>
      <c r="J3" s="46" t="s">
        <v>77</v>
      </c>
      <c r="K3" s="46" t="s">
        <v>65</v>
      </c>
      <c r="M3" s="54">
        <v>2</v>
      </c>
      <c r="N3" s="42">
        <v>2015</v>
      </c>
    </row>
    <row r="4" spans="1:14" x14ac:dyDescent="0.25">
      <c r="A4" s="143">
        <f ca="1">TODAY()</f>
        <v>45296</v>
      </c>
      <c r="C4" s="59">
        <f>IF(C2+C3&lt;0,0,C2+C3)</f>
        <v>0</v>
      </c>
      <c r="E4" s="29"/>
      <c r="H4" s="49">
        <v>3</v>
      </c>
      <c r="I4" s="46" t="s">
        <v>75</v>
      </c>
      <c r="J4" s="46" t="s">
        <v>77</v>
      </c>
      <c r="K4" s="46" t="s">
        <v>65</v>
      </c>
      <c r="M4" s="54">
        <v>3</v>
      </c>
      <c r="N4" s="42">
        <v>2016</v>
      </c>
    </row>
    <row r="5" spans="1:14" x14ac:dyDescent="0.25">
      <c r="A5" s="125">
        <f ca="1">VALUE(RIGHT(TEXT(A4,"TT.MM.JJJJ"),4))</f>
        <v>2024</v>
      </c>
      <c r="C5" s="57">
        <f>Beitragsberechnung!K8</f>
        <v>0</v>
      </c>
      <c r="E5" s="2"/>
      <c r="H5" s="49">
        <v>4</v>
      </c>
      <c r="I5" s="46" t="s">
        <v>89</v>
      </c>
      <c r="J5" s="46" t="s">
        <v>90</v>
      </c>
      <c r="K5" s="46" t="s">
        <v>91</v>
      </c>
      <c r="M5" s="54">
        <v>4</v>
      </c>
      <c r="N5" s="42">
        <v>2017</v>
      </c>
    </row>
    <row r="6" spans="1:14" x14ac:dyDescent="0.25">
      <c r="A6" s="128">
        <f ca="1">IF(A2&gt;A5,A5,A2)</f>
        <v>2024</v>
      </c>
      <c r="C6" s="58">
        <v>-3700</v>
      </c>
      <c r="M6" s="54">
        <v>5</v>
      </c>
      <c r="N6" s="42">
        <v>2018</v>
      </c>
    </row>
    <row r="7" spans="1:14" x14ac:dyDescent="0.25">
      <c r="C7" s="59">
        <f>IF(C5+C6&lt;0,0,C5+C6)</f>
        <v>0</v>
      </c>
      <c r="H7" s="48">
        <v>1</v>
      </c>
      <c r="I7" s="50" t="s">
        <v>80</v>
      </c>
      <c r="J7" s="47" t="s">
        <v>81</v>
      </c>
      <c r="K7" s="47"/>
      <c r="M7" s="54">
        <v>6</v>
      </c>
      <c r="N7" s="42">
        <v>2019</v>
      </c>
    </row>
    <row r="8" spans="1:14" x14ac:dyDescent="0.25">
      <c r="C8" s="59">
        <f>Beitragsberechnung!L8</f>
        <v>0</v>
      </c>
      <c r="H8" s="49">
        <v>1</v>
      </c>
      <c r="I8" s="46"/>
      <c r="J8" s="46"/>
      <c r="K8" s="52"/>
      <c r="M8" s="54">
        <v>7</v>
      </c>
      <c r="N8" s="42">
        <v>2020</v>
      </c>
    </row>
    <row r="9" spans="1:14" x14ac:dyDescent="0.25">
      <c r="C9" s="56">
        <f>(C4+C7+C8)*0.3</f>
        <v>0</v>
      </c>
      <c r="H9" s="49">
        <v>2</v>
      </c>
      <c r="I9" s="46" t="s">
        <v>126</v>
      </c>
      <c r="J9" s="46" t="s">
        <v>100</v>
      </c>
      <c r="K9" s="52" t="s">
        <v>88</v>
      </c>
      <c r="M9" s="54">
        <v>8</v>
      </c>
      <c r="N9" s="42">
        <v>2021</v>
      </c>
    </row>
    <row r="10" spans="1:14" x14ac:dyDescent="0.25">
      <c r="H10" s="49">
        <v>3</v>
      </c>
      <c r="I10" s="46" t="s">
        <v>127</v>
      </c>
      <c r="J10" s="46" t="s">
        <v>100</v>
      </c>
      <c r="K10" s="46" t="s">
        <v>102</v>
      </c>
      <c r="M10" s="54">
        <v>9</v>
      </c>
      <c r="N10" s="42">
        <v>2022</v>
      </c>
    </row>
    <row r="11" spans="1:14" x14ac:dyDescent="0.25">
      <c r="H11" s="49">
        <v>4</v>
      </c>
      <c r="I11" s="46" t="s">
        <v>128</v>
      </c>
      <c r="J11" s="46" t="s">
        <v>101</v>
      </c>
      <c r="K11" s="52" t="s">
        <v>88</v>
      </c>
      <c r="M11" s="54">
        <v>10</v>
      </c>
      <c r="N11" s="42">
        <v>2023</v>
      </c>
    </row>
    <row r="12" spans="1:14" x14ac:dyDescent="0.25">
      <c r="A12" s="87" t="b">
        <f>'Verknüpfungen 1'!A12</f>
        <v>0</v>
      </c>
      <c r="B12" s="88" t="s">
        <v>106</v>
      </c>
      <c r="H12" s="49">
        <v>5</v>
      </c>
      <c r="I12" s="46" t="s">
        <v>129</v>
      </c>
      <c r="J12" s="46" t="s">
        <v>103</v>
      </c>
      <c r="K12" s="52" t="s">
        <v>88</v>
      </c>
      <c r="M12" s="54">
        <v>11</v>
      </c>
      <c r="N12" s="42">
        <v>2024</v>
      </c>
    </row>
    <row r="13" spans="1:14" x14ac:dyDescent="0.25">
      <c r="M13" s="54">
        <v>12</v>
      </c>
      <c r="N13" s="42">
        <v>2025</v>
      </c>
    </row>
    <row r="14" spans="1:14" x14ac:dyDescent="0.25">
      <c r="I14" s="128" t="str">
        <f>IF(VLOOKUP(H7,H8:I12,2)=0,"",VLOOKUP(H7,H8:I12,2))</f>
        <v/>
      </c>
      <c r="M14" s="54">
        <v>13</v>
      </c>
      <c r="N14" s="42">
        <v>2026</v>
      </c>
    </row>
    <row r="15" spans="1:14" x14ac:dyDescent="0.25">
      <c r="M15" s="54">
        <v>14</v>
      </c>
      <c r="N15" s="42">
        <v>2027</v>
      </c>
    </row>
    <row r="16" spans="1:14" x14ac:dyDescent="0.25">
      <c r="M16" s="54">
        <v>15</v>
      </c>
      <c r="N16" s="42">
        <v>2028</v>
      </c>
    </row>
    <row r="17" spans="1:14" x14ac:dyDescent="0.25">
      <c r="M17" s="54">
        <v>16</v>
      </c>
      <c r="N17" s="42">
        <v>2029</v>
      </c>
    </row>
    <row r="18" spans="1:14" x14ac:dyDescent="0.25">
      <c r="A18" s="121" t="s">
        <v>121</v>
      </c>
      <c r="E18" s="41" t="s">
        <v>120</v>
      </c>
      <c r="M18" s="54">
        <v>17</v>
      </c>
      <c r="N18" s="42">
        <v>2030</v>
      </c>
    </row>
    <row r="19" spans="1:14" x14ac:dyDescent="0.25">
      <c r="A19" s="125" t="b">
        <f>ISNUMBER('Internetfenster 2'!J6)</f>
        <v>0</v>
      </c>
      <c r="E19" s="125" t="b">
        <f>ISNUMBER('Internetfenster 2'!F6)</f>
        <v>0</v>
      </c>
    </row>
    <row r="20" spans="1:14" x14ac:dyDescent="0.25">
      <c r="A20" s="125" t="b">
        <f>ISNUMBER('Internetfenster 2'!L6)</f>
        <v>0</v>
      </c>
    </row>
    <row r="21" spans="1:14" x14ac:dyDescent="0.25">
      <c r="A21" s="125" t="b">
        <f>ISNUMBER('Internetfenster 2'!N6)</f>
        <v>0</v>
      </c>
    </row>
  </sheetData>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S52"/>
  <sheetViews>
    <sheetView zoomScaleNormal="100" workbookViewId="0">
      <selection activeCell="G12" sqref="G12"/>
    </sheetView>
  </sheetViews>
  <sheetFormatPr baseColWidth="10" defaultRowHeight="13.8" x14ac:dyDescent="0.25"/>
  <cols>
    <col min="1" max="2" width="11" style="37"/>
    <col min="3" max="3" width="14.19921875" style="38" customWidth="1"/>
    <col min="4" max="4" width="13.69921875" customWidth="1"/>
    <col min="5" max="5" width="20.19921875" style="1" customWidth="1"/>
    <col min="6" max="17" width="12.8984375" customWidth="1"/>
  </cols>
  <sheetData>
    <row r="1" spans="1:19" ht="15.6" x14ac:dyDescent="0.3">
      <c r="A1" s="507" t="s">
        <v>51</v>
      </c>
      <c r="B1" s="508"/>
      <c r="C1" s="31"/>
      <c r="E1" s="29" t="s">
        <v>55</v>
      </c>
      <c r="F1" s="1"/>
      <c r="G1" s="1"/>
      <c r="H1" s="1"/>
      <c r="I1" s="1"/>
      <c r="J1" s="1"/>
    </row>
    <row r="2" spans="1:19" ht="15.6" x14ac:dyDescent="0.3">
      <c r="A2" s="32" t="s">
        <v>52</v>
      </c>
      <c r="B2" s="33" t="s">
        <v>53</v>
      </c>
      <c r="C2" s="34" t="s">
        <v>54</v>
      </c>
      <c r="E2" s="29" t="s">
        <v>56</v>
      </c>
    </row>
    <row r="3" spans="1:19" x14ac:dyDescent="0.25">
      <c r="A3" s="35"/>
      <c r="B3" s="35">
        <v>5000</v>
      </c>
      <c r="C3" s="36">
        <f>VLOOKUP('Verknüpfungen 1'!$A$2,Wertedatenbank!$A$3:$AC$21,Wertedatenbank!N$22)</f>
        <v>23.350020000000001</v>
      </c>
      <c r="E3" s="43">
        <f>ROUND(IF(A14&lt;A4,A14*C3/100,B3*C3/100),4)</f>
        <v>1167.501</v>
      </c>
    </row>
    <row r="4" spans="1:19" x14ac:dyDescent="0.25">
      <c r="A4" s="35">
        <f>B3+100</f>
        <v>5100</v>
      </c>
      <c r="B4" s="35">
        <v>8700</v>
      </c>
      <c r="C4" s="36">
        <f>VLOOKUP('Verknüpfungen 1'!$A$2,Wertedatenbank!$A$3:$AC$21,Wertedatenbank!O$22)</f>
        <v>25.944500000000001</v>
      </c>
      <c r="E4" s="43">
        <f t="shared" ref="E4:E10" si="0">ROUND(IF($A$14&lt;A4,0,IF($A$14&gt;B4,(B4-B3),($A$14-B3))*C4/100),4)</f>
        <v>959.94650000000001</v>
      </c>
    </row>
    <row r="5" spans="1:19" x14ac:dyDescent="0.25">
      <c r="A5" s="35">
        <f>B4+100</f>
        <v>8800</v>
      </c>
      <c r="B5" s="35">
        <v>10900</v>
      </c>
      <c r="C5" s="36">
        <f>VLOOKUP('Verknüpfungen 1'!$A$2,Wertedatenbank!$A$3:$AC$21,Wertedatenbank!P$22)</f>
        <v>21.079879999999999</v>
      </c>
      <c r="E5" s="43">
        <f t="shared" si="0"/>
        <v>463.75740000000002</v>
      </c>
    </row>
    <row r="6" spans="1:19" x14ac:dyDescent="0.25">
      <c r="A6" s="35">
        <f t="shared" ref="A6:A11" si="1">B5+100</f>
        <v>11000</v>
      </c>
      <c r="B6" s="35">
        <v>14500</v>
      </c>
      <c r="C6" s="36">
        <f>VLOOKUP('Verknüpfungen 1'!$A$2,Wertedatenbank!$A$3:$AC$21,Wertedatenbank!Q$22)</f>
        <v>14.59381</v>
      </c>
      <c r="E6" s="43">
        <f t="shared" si="0"/>
        <v>525.37720000000002</v>
      </c>
    </row>
    <row r="7" spans="1:19" x14ac:dyDescent="0.25">
      <c r="A7" s="35">
        <f t="shared" si="1"/>
        <v>14600</v>
      </c>
      <c r="B7" s="35">
        <v>21800</v>
      </c>
      <c r="C7" s="36">
        <f>VLOOKUP('Verknüpfungen 1'!$A$2,Wertedatenbank!$A$3:$AC$21,Wertedatenbank!R$22)</f>
        <v>11.83719</v>
      </c>
      <c r="E7" s="43">
        <f t="shared" si="0"/>
        <v>864.11490000000003</v>
      </c>
    </row>
    <row r="8" spans="1:19" x14ac:dyDescent="0.25">
      <c r="A8" s="35">
        <f t="shared" si="1"/>
        <v>21900</v>
      </c>
      <c r="B8" s="35">
        <v>29000</v>
      </c>
      <c r="C8" s="36">
        <f>VLOOKUP('Verknüpfungen 1'!$A$2,Wertedatenbank!$A$3:$AC$21,Wertedatenbank!S$22)</f>
        <v>8.7562999999999995</v>
      </c>
      <c r="E8" s="43">
        <f t="shared" si="0"/>
        <v>630.45360000000005</v>
      </c>
    </row>
    <row r="9" spans="1:19" x14ac:dyDescent="0.25">
      <c r="A9" s="35">
        <f t="shared" si="1"/>
        <v>29100</v>
      </c>
      <c r="B9" s="35">
        <v>36300</v>
      </c>
      <c r="C9" s="36">
        <f>VLOOKUP('Verknüpfungen 1'!$A$2,Wertedatenbank!$A$3:$AC$21,Wertedatenbank!T$22)</f>
        <v>6.4861399999999998</v>
      </c>
      <c r="E9" s="43">
        <f t="shared" si="0"/>
        <v>473.48820000000001</v>
      </c>
    </row>
    <row r="10" spans="1:19" x14ac:dyDescent="0.25">
      <c r="A10" s="35">
        <f t="shared" si="1"/>
        <v>36400</v>
      </c>
      <c r="B10" s="35">
        <v>43600</v>
      </c>
      <c r="C10" s="36">
        <f>VLOOKUP('Verknüpfungen 1'!$A$2,Wertedatenbank!$A$3:$AC$21,Wertedatenbank!U$22)</f>
        <v>4.8646200000000004</v>
      </c>
      <c r="E10" s="43">
        <f t="shared" si="0"/>
        <v>355.1173</v>
      </c>
      <c r="F10" s="40"/>
      <c r="G10" s="40"/>
      <c r="H10" s="40"/>
      <c r="I10" s="40"/>
      <c r="J10" s="40"/>
      <c r="K10" s="29" t="s">
        <v>61</v>
      </c>
      <c r="L10" s="29" t="s">
        <v>63</v>
      </c>
      <c r="M10" s="40"/>
      <c r="N10" s="40"/>
      <c r="O10" s="40"/>
      <c r="P10" s="40"/>
      <c r="Q10" s="40"/>
      <c r="R10" s="40"/>
      <c r="S10" s="40"/>
    </row>
    <row r="11" spans="1:19" x14ac:dyDescent="0.25">
      <c r="A11" s="35">
        <f t="shared" si="1"/>
        <v>43700</v>
      </c>
      <c r="B11" s="35"/>
      <c r="C11" s="36">
        <f>VLOOKUP('Verknüpfungen 1'!$A$2,Wertedatenbank!$A$3:$AC$21,Wertedatenbank!V$22)</f>
        <v>3.72953</v>
      </c>
      <c r="E11" s="43" t="e">
        <f>ROUND(IF($A$14&lt;A11,0,($A$14-B10)*C11/100),4)</f>
        <v>#VALUE!</v>
      </c>
      <c r="F11" s="29" t="s">
        <v>57</v>
      </c>
      <c r="G11" s="29" t="s">
        <v>58</v>
      </c>
      <c r="H11" s="29" t="s">
        <v>59</v>
      </c>
      <c r="I11" s="29" t="s">
        <v>60</v>
      </c>
      <c r="J11" s="29" t="s">
        <v>36</v>
      </c>
      <c r="K11" s="29" t="s">
        <v>62</v>
      </c>
      <c r="L11" s="29" t="s">
        <v>62</v>
      </c>
      <c r="M11" s="40"/>
      <c r="N11" s="40"/>
      <c r="O11" s="40"/>
      <c r="P11" s="40"/>
      <c r="Q11" s="40"/>
      <c r="R11" s="40"/>
      <c r="S11" s="40"/>
    </row>
    <row r="12" spans="1:19" s="2" customFormat="1" x14ac:dyDescent="0.25">
      <c r="D12" s="44" t="s">
        <v>64</v>
      </c>
      <c r="E12" s="2" t="e">
        <f>ROUND(SUM(E3:E11),2)</f>
        <v>#VALUE!</v>
      </c>
      <c r="F12" s="2">
        <f>VLOOKUP('Verknüpfungen 1'!$A$2,Wertedatenbank!$A$3:$AC$21,Wertedatenbank!D$22)</f>
        <v>518.44000000000005</v>
      </c>
      <c r="G12" s="2">
        <f>VLOOKUP('Verknüpfungen 1'!$A$2,Wertedatenbank!$A$3:$AC$21,IF(Beitragsberechnung!C3&gt;2019,Wertedatenbank!D$22,Wertedatenbank!C$22))</f>
        <v>518.44000000000005</v>
      </c>
      <c r="H12" s="2" t="e">
        <f>IF(E12&lt;F12,F12,E12)</f>
        <v>#VALUE!</v>
      </c>
      <c r="I12" s="2" t="e">
        <f>IF(E12&lt;G12,G12,E12)</f>
        <v>#VALUE!</v>
      </c>
      <c r="J12" s="2">
        <f>VLOOKUP('Verknüpfungen 1'!$A$2,Wertedatenbank!$A$3:$AC$21,Wertedatenbank!G$22)</f>
        <v>7070</v>
      </c>
      <c r="K12" s="2" t="e">
        <f>IF(H12&gt;J12,J12,H12)</f>
        <v>#VALUE!</v>
      </c>
      <c r="L12" s="2" t="e">
        <f>IF(I12&gt;J12,J12,I12)</f>
        <v>#VALUE!</v>
      </c>
    </row>
    <row r="13" spans="1:19" x14ac:dyDescent="0.25">
      <c r="D13" s="28" t="s">
        <v>65</v>
      </c>
      <c r="E13" s="2" t="e">
        <f>ROUND(E12/2,2)</f>
        <v>#VALUE!</v>
      </c>
      <c r="F13" s="1">
        <f>ROUND(F12/2,2)</f>
        <v>259.22000000000003</v>
      </c>
      <c r="G13" s="1">
        <f>ROUND(G12/2,2)</f>
        <v>259.22000000000003</v>
      </c>
      <c r="H13" s="2" t="e">
        <f>IF(E13&lt;F13,F13,E13)</f>
        <v>#VALUE!</v>
      </c>
      <c r="I13" s="2" t="e">
        <f>IF(E13&lt;G13,G13,E13)</f>
        <v>#VALUE!</v>
      </c>
      <c r="J13" s="2">
        <f>J12</f>
        <v>7070</v>
      </c>
      <c r="K13" s="2" t="e">
        <f>IF(H13&gt;J13,J13,H13)</f>
        <v>#VALUE!</v>
      </c>
      <c r="L13" s="2" t="e">
        <f>IF(I13&gt;J13,J13,I13)</f>
        <v>#VALUE!</v>
      </c>
    </row>
    <row r="14" spans="1:19" x14ac:dyDescent="0.25">
      <c r="A14" s="39" t="str">
        <f>'Verknüpfungen 1'!E2</f>
        <v/>
      </c>
      <c r="D14" s="28" t="s">
        <v>66</v>
      </c>
      <c r="E14" s="2" t="e">
        <f>E13</f>
        <v>#VALUE!</v>
      </c>
      <c r="F14" s="1">
        <f>F13</f>
        <v>259.22000000000003</v>
      </c>
      <c r="G14" s="1">
        <f>G13</f>
        <v>259.22000000000003</v>
      </c>
      <c r="H14" s="2" t="e">
        <f>IF(E14&lt;F14,F14,E14)</f>
        <v>#VALUE!</v>
      </c>
      <c r="I14" s="2" t="e">
        <f>IF(E14&lt;G14,G14,E14)</f>
        <v>#VALUE!</v>
      </c>
      <c r="J14" s="2">
        <f>J13/2</f>
        <v>3535</v>
      </c>
      <c r="K14" s="2" t="e">
        <f>IF(H14&gt;J14,J14,H14)</f>
        <v>#VALUE!</v>
      </c>
      <c r="L14" s="2" t="e">
        <f>IF(I14&gt;J14,J14,I14)</f>
        <v>#VALUE!</v>
      </c>
    </row>
    <row r="15" spans="1:19" x14ac:dyDescent="0.25">
      <c r="D15" s="28" t="s">
        <v>67</v>
      </c>
      <c r="E15" s="2" t="e">
        <f>ROUND(E12/3,2)</f>
        <v>#VALUE!</v>
      </c>
      <c r="F15" s="2">
        <f>F12</f>
        <v>518.44000000000005</v>
      </c>
      <c r="G15" s="2">
        <f>F15</f>
        <v>518.44000000000005</v>
      </c>
      <c r="H15" s="2" t="e">
        <f>IF(E15&lt;F15,F15,E15)</f>
        <v>#VALUE!</v>
      </c>
      <c r="I15" s="2" t="e">
        <f>IF(E15&lt;G15,G15,E15)</f>
        <v>#VALUE!</v>
      </c>
      <c r="J15" s="1">
        <f>ROUND(J12/3,2)</f>
        <v>2356.67</v>
      </c>
      <c r="K15" s="2" t="e">
        <f>IF(H15&gt;J15,J15,H15)</f>
        <v>#VALUE!</v>
      </c>
      <c r="L15" s="2" t="e">
        <f>IF(I15&gt;J15,J15,I15)</f>
        <v>#VALUE!</v>
      </c>
    </row>
    <row r="16" spans="1:19" x14ac:dyDescent="0.25">
      <c r="A16" s="196">
        <f>'Verknüpfungen 1'!H1</f>
        <v>1</v>
      </c>
      <c r="E16" s="2"/>
    </row>
    <row r="17" spans="1:12" x14ac:dyDescent="0.25">
      <c r="A17" s="196">
        <f>IF(A14&lt;1500,IF(A16=3,1,0),0)</f>
        <v>0</v>
      </c>
      <c r="C17" s="45" t="s">
        <v>68</v>
      </c>
      <c r="D17" s="44" t="s">
        <v>64</v>
      </c>
      <c r="E17" s="2">
        <f>ROUND(ROUND('Verknüpfungen 1'!C9/12,2)/IF('Verknüpfungen 1'!G1=4,2,1),2)</f>
        <v>0</v>
      </c>
    </row>
    <row r="18" spans="1:12" x14ac:dyDescent="0.25">
      <c r="D18" s="28" t="s">
        <v>65</v>
      </c>
      <c r="E18" s="2">
        <f>ROUND(E17/2,2)</f>
        <v>0</v>
      </c>
    </row>
    <row r="19" spans="1:12" x14ac:dyDescent="0.25">
      <c r="D19" s="28" t="s">
        <v>66</v>
      </c>
      <c r="E19" s="2">
        <f>E18</f>
        <v>0</v>
      </c>
    </row>
    <row r="20" spans="1:12" x14ac:dyDescent="0.25">
      <c r="D20" s="28" t="s">
        <v>67</v>
      </c>
      <c r="E20" s="2">
        <f>ROUND(E17/3,2)</f>
        <v>0</v>
      </c>
      <c r="F20" s="40"/>
      <c r="G20" s="40"/>
      <c r="H20" s="40"/>
      <c r="I20" s="40"/>
      <c r="J20" s="40"/>
      <c r="K20" s="29" t="s">
        <v>61</v>
      </c>
      <c r="L20" s="29" t="s">
        <v>63</v>
      </c>
    </row>
    <row r="21" spans="1:12" x14ac:dyDescent="0.25">
      <c r="E21" s="2"/>
      <c r="F21" s="29" t="s">
        <v>57</v>
      </c>
      <c r="G21" s="29" t="s">
        <v>58</v>
      </c>
      <c r="H21" s="29" t="s">
        <v>59</v>
      </c>
      <c r="I21" s="29" t="s">
        <v>60</v>
      </c>
      <c r="J21" s="29" t="s">
        <v>36</v>
      </c>
      <c r="K21" s="29" t="s">
        <v>62</v>
      </c>
      <c r="L21" s="29" t="s">
        <v>62</v>
      </c>
    </row>
    <row r="22" spans="1:12" x14ac:dyDescent="0.25">
      <c r="C22" s="45" t="s">
        <v>69</v>
      </c>
      <c r="D22" s="44" t="s">
        <v>64</v>
      </c>
      <c r="E22" s="2" t="e">
        <f>E12+E17</f>
        <v>#VALUE!</v>
      </c>
      <c r="F22" s="2">
        <f t="shared" ref="F22:G25" si="2">F12</f>
        <v>518.44000000000005</v>
      </c>
      <c r="G22" s="2">
        <f t="shared" si="2"/>
        <v>518.44000000000005</v>
      </c>
      <c r="H22" s="2" t="e">
        <f>IF(E22&lt;F22,F22,E22)</f>
        <v>#VALUE!</v>
      </c>
      <c r="I22" s="2" t="e">
        <f>IF(E22&lt;G22,G22,E22)</f>
        <v>#VALUE!</v>
      </c>
      <c r="J22" s="2">
        <f>J12</f>
        <v>7070</v>
      </c>
      <c r="K22" s="2" t="e">
        <f>IF(H22&gt;J22,J22,H22)</f>
        <v>#VALUE!</v>
      </c>
      <c r="L22" s="2" t="e">
        <f>IF(I22&gt;J22,J22,I22)</f>
        <v>#VALUE!</v>
      </c>
    </row>
    <row r="23" spans="1:12" x14ac:dyDescent="0.25">
      <c r="D23" s="28" t="s">
        <v>65</v>
      </c>
      <c r="E23" s="2" t="e">
        <f>E13+E18</f>
        <v>#VALUE!</v>
      </c>
      <c r="F23" s="2">
        <f t="shared" si="2"/>
        <v>259.22000000000003</v>
      </c>
      <c r="G23" s="2">
        <f t="shared" si="2"/>
        <v>259.22000000000003</v>
      </c>
      <c r="H23" s="2" t="e">
        <f>IF(E23&lt;F23,F23,E23)</f>
        <v>#VALUE!</v>
      </c>
      <c r="I23" s="2" t="e">
        <f>IF(E23&lt;G23,G23,E23)</f>
        <v>#VALUE!</v>
      </c>
      <c r="J23" s="2">
        <f>J13</f>
        <v>7070</v>
      </c>
      <c r="K23" s="2" t="e">
        <f>IF(A17=1,K22,IF(H23&gt;J23,J23,H23))</f>
        <v>#VALUE!</v>
      </c>
      <c r="L23" s="2" t="e">
        <f>IF(A17=1,L22,IF(I23&gt;J23,J23,I23))</f>
        <v>#VALUE!</v>
      </c>
    </row>
    <row r="24" spans="1:12" x14ac:dyDescent="0.25">
      <c r="D24" s="28" t="s">
        <v>66</v>
      </c>
      <c r="E24" s="2" t="e">
        <f>E14+E19</f>
        <v>#VALUE!</v>
      </c>
      <c r="F24" s="2">
        <f t="shared" si="2"/>
        <v>259.22000000000003</v>
      </c>
      <c r="G24" s="2">
        <f t="shared" si="2"/>
        <v>259.22000000000003</v>
      </c>
      <c r="H24" s="2" t="e">
        <f>IF(E24&lt;F24,F24,E24)</f>
        <v>#VALUE!</v>
      </c>
      <c r="I24" s="2" t="e">
        <f>IF(E24&lt;G24,G24,E24)</f>
        <v>#VALUE!</v>
      </c>
      <c r="J24" s="2">
        <f>J14</f>
        <v>3535</v>
      </c>
      <c r="K24" s="2" t="e">
        <f>IF(H24&gt;J24,J24,H24)</f>
        <v>#VALUE!</v>
      </c>
      <c r="L24" s="2" t="e">
        <f>IF(I24&gt;J24,J24,I24)</f>
        <v>#VALUE!</v>
      </c>
    </row>
    <row r="25" spans="1:12" x14ac:dyDescent="0.25">
      <c r="D25" s="28" t="s">
        <v>67</v>
      </c>
      <c r="E25" s="2" t="e">
        <f>E15+E20</f>
        <v>#VALUE!</v>
      </c>
      <c r="F25" s="2">
        <f t="shared" si="2"/>
        <v>518.44000000000005</v>
      </c>
      <c r="G25" s="2">
        <f t="shared" si="2"/>
        <v>518.44000000000005</v>
      </c>
      <c r="H25" s="2" t="e">
        <f>IF(E25&lt;F25,F25,E25)</f>
        <v>#VALUE!</v>
      </c>
      <c r="I25" s="2" t="e">
        <f>IF(E25&lt;G25,G25,E25)</f>
        <v>#VALUE!</v>
      </c>
      <c r="J25" s="2">
        <f>J15</f>
        <v>2356.67</v>
      </c>
      <c r="K25" s="2" t="e">
        <f>IF(H25&gt;J25,J25,H25)</f>
        <v>#VALUE!</v>
      </c>
      <c r="L25" s="2" t="e">
        <f>IF(I25&gt;J25,J25,I25)</f>
        <v>#VALUE!</v>
      </c>
    </row>
    <row r="26" spans="1:12" x14ac:dyDescent="0.25">
      <c r="D26" s="28" t="s">
        <v>116</v>
      </c>
      <c r="E26" s="2" t="e">
        <f>ROUND(E25/2,2)</f>
        <v>#VALUE!</v>
      </c>
      <c r="F26" s="1">
        <f>ROUND(F25/2,2)</f>
        <v>259.22000000000003</v>
      </c>
      <c r="G26" s="1">
        <f>ROUND(G25/2,2)</f>
        <v>259.22000000000003</v>
      </c>
      <c r="H26" s="2" t="e">
        <f>IF(E26&lt;F26,F26,E26)</f>
        <v>#VALUE!</v>
      </c>
      <c r="I26" s="2" t="e">
        <f>IF(E26&lt;G26,G26,E26)</f>
        <v>#VALUE!</v>
      </c>
      <c r="J26" s="2">
        <f>J25</f>
        <v>2356.67</v>
      </c>
      <c r="K26" s="2" t="e">
        <f>IF(H26&gt;J26,J26,H26)</f>
        <v>#VALUE!</v>
      </c>
      <c r="L26" s="2" t="e">
        <f>IF(I26&gt;J26,J26,I26)</f>
        <v>#VALUE!</v>
      </c>
    </row>
    <row r="28" spans="1:12" ht="15.6" x14ac:dyDescent="0.3">
      <c r="A28" s="507" t="s">
        <v>51</v>
      </c>
      <c r="B28" s="508"/>
      <c r="C28" s="31"/>
      <c r="E28" s="29" t="s">
        <v>55</v>
      </c>
      <c r="F28" s="1"/>
      <c r="G28" s="1"/>
      <c r="H28" s="1"/>
      <c r="I28" s="1"/>
      <c r="J28" s="1"/>
    </row>
    <row r="29" spans="1:12" ht="15.6" x14ac:dyDescent="0.3">
      <c r="A29" s="32" t="s">
        <v>52</v>
      </c>
      <c r="B29" s="33" t="s">
        <v>53</v>
      </c>
      <c r="C29" s="34" t="s">
        <v>54</v>
      </c>
      <c r="E29" s="29" t="s">
        <v>56</v>
      </c>
    </row>
    <row r="30" spans="1:12" x14ac:dyDescent="0.25">
      <c r="A30" s="35"/>
      <c r="B30" s="35">
        <v>5000</v>
      </c>
      <c r="C30" s="36">
        <f>VLOOKUP('Verknüpfungen 1'!$A$2,Wertedatenbank!$A$3:$AC$21,Wertedatenbank!N$22)</f>
        <v>23.350020000000001</v>
      </c>
      <c r="E30" s="43" t="e">
        <f>ROUND(IF(A41&lt;A31,A41*C30/100,B30*C30/100),4)</f>
        <v>#VALUE!</v>
      </c>
    </row>
    <row r="31" spans="1:12" x14ac:dyDescent="0.25">
      <c r="A31" s="35">
        <f>B30+100</f>
        <v>5100</v>
      </c>
      <c r="B31" s="35">
        <v>8700</v>
      </c>
      <c r="C31" s="36">
        <f>VLOOKUP('Verknüpfungen 1'!$A$2,Wertedatenbank!$A$3:$AC$21,Wertedatenbank!O$22)</f>
        <v>25.944500000000001</v>
      </c>
      <c r="E31" s="43" t="e">
        <f>ROUND(IF($A$41&lt;A31,0,IF($A$41&gt;B31,(B31-B30),($A$41-B30))*C31/100),4)</f>
        <v>#VALUE!</v>
      </c>
    </row>
    <row r="32" spans="1:12" x14ac:dyDescent="0.25">
      <c r="A32" s="35">
        <f>B31+100</f>
        <v>8800</v>
      </c>
      <c r="B32" s="35">
        <v>10900</v>
      </c>
      <c r="C32" s="36">
        <f>VLOOKUP('Verknüpfungen 1'!$A$2,Wertedatenbank!$A$3:$AC$21,Wertedatenbank!P$22)</f>
        <v>21.079879999999999</v>
      </c>
      <c r="E32" s="43" t="e">
        <f t="shared" ref="E32:E37" si="3">ROUND(IF($A$41&lt;A32,0,IF($A$41&gt;B32,(B32-B31),($A$41-B31))*C32/100),4)</f>
        <v>#VALUE!</v>
      </c>
    </row>
    <row r="33" spans="1:19" x14ac:dyDescent="0.25">
      <c r="A33" s="35">
        <f t="shared" ref="A33:A38" si="4">B32+100</f>
        <v>11000</v>
      </c>
      <c r="B33" s="35">
        <v>14500</v>
      </c>
      <c r="C33" s="36">
        <f>VLOOKUP('Verknüpfungen 1'!$A$2,Wertedatenbank!$A$3:$AC$21,Wertedatenbank!Q$22)</f>
        <v>14.59381</v>
      </c>
      <c r="E33" s="43" t="e">
        <f t="shared" si="3"/>
        <v>#VALUE!</v>
      </c>
    </row>
    <row r="34" spans="1:19" x14ac:dyDescent="0.25">
      <c r="A34" s="35">
        <f t="shared" si="4"/>
        <v>14600</v>
      </c>
      <c r="B34" s="35">
        <v>21800</v>
      </c>
      <c r="C34" s="36">
        <f>VLOOKUP('Verknüpfungen 1'!$A$2,Wertedatenbank!$A$3:$AC$21,Wertedatenbank!R$22)</f>
        <v>11.83719</v>
      </c>
      <c r="E34" s="43" t="e">
        <f t="shared" si="3"/>
        <v>#VALUE!</v>
      </c>
    </row>
    <row r="35" spans="1:19" x14ac:dyDescent="0.25">
      <c r="A35" s="35">
        <f t="shared" si="4"/>
        <v>21900</v>
      </c>
      <c r="B35" s="35">
        <v>29000</v>
      </c>
      <c r="C35" s="36">
        <f>VLOOKUP('Verknüpfungen 1'!$A$2,Wertedatenbank!$A$3:$AC$21,Wertedatenbank!S$22)</f>
        <v>8.7562999999999995</v>
      </c>
      <c r="E35" s="43" t="e">
        <f t="shared" si="3"/>
        <v>#VALUE!</v>
      </c>
    </row>
    <row r="36" spans="1:19" x14ac:dyDescent="0.25">
      <c r="A36" s="35">
        <f t="shared" si="4"/>
        <v>29100</v>
      </c>
      <c r="B36" s="35">
        <v>36300</v>
      </c>
      <c r="C36" s="36">
        <f>VLOOKUP('Verknüpfungen 1'!$A$2,Wertedatenbank!$A$3:$AC$21,Wertedatenbank!T$22)</f>
        <v>6.4861399999999998</v>
      </c>
      <c r="E36" s="43" t="e">
        <f t="shared" si="3"/>
        <v>#VALUE!</v>
      </c>
    </row>
    <row r="37" spans="1:19" x14ac:dyDescent="0.25">
      <c r="A37" s="35">
        <f t="shared" si="4"/>
        <v>36400</v>
      </c>
      <c r="B37" s="35">
        <v>43600</v>
      </c>
      <c r="C37" s="36">
        <f>VLOOKUP('Verknüpfungen 1'!$A$2,Wertedatenbank!$A$3:$AC$21,Wertedatenbank!U$22)</f>
        <v>4.8646200000000004</v>
      </c>
      <c r="E37" s="43" t="e">
        <f t="shared" si="3"/>
        <v>#VALUE!</v>
      </c>
      <c r="F37" s="40"/>
      <c r="G37" s="40"/>
      <c r="H37" s="40"/>
      <c r="I37" s="40"/>
      <c r="J37" s="40"/>
      <c r="K37" s="29"/>
      <c r="L37" s="29" t="s">
        <v>95</v>
      </c>
      <c r="M37" s="40"/>
      <c r="N37" s="40"/>
      <c r="O37" s="40"/>
      <c r="P37" s="40"/>
      <c r="Q37" s="40"/>
      <c r="R37" s="40"/>
      <c r="S37" s="40"/>
    </row>
    <row r="38" spans="1:19" x14ac:dyDescent="0.25">
      <c r="A38" s="35">
        <f t="shared" si="4"/>
        <v>43700</v>
      </c>
      <c r="B38" s="35"/>
      <c r="C38" s="36">
        <f>VLOOKUP('Verknüpfungen 1'!$A$2,Wertedatenbank!$A$3:$AC$21,Wertedatenbank!V$22)</f>
        <v>3.72953</v>
      </c>
      <c r="E38" s="43" t="e">
        <f>ROUND(IF($A$41&lt;A38,0,($A$41-B37)*C38/100),4)</f>
        <v>#VALUE!</v>
      </c>
      <c r="F38" s="29"/>
      <c r="G38" s="29" t="s">
        <v>93</v>
      </c>
      <c r="H38" s="29"/>
      <c r="I38" s="29" t="s">
        <v>94</v>
      </c>
      <c r="J38" s="29" t="s">
        <v>36</v>
      </c>
      <c r="K38" s="29"/>
      <c r="L38" s="29" t="s">
        <v>62</v>
      </c>
      <c r="M38" s="40"/>
      <c r="N38" s="40"/>
      <c r="O38" s="40"/>
      <c r="P38" s="40"/>
      <c r="Q38" s="40"/>
      <c r="R38" s="40"/>
      <c r="S38" s="40"/>
    </row>
    <row r="39" spans="1:19" s="2" customFormat="1" x14ac:dyDescent="0.25">
      <c r="D39" s="44" t="s">
        <v>64</v>
      </c>
      <c r="E39" s="2" t="e">
        <f>ROUND(SUM(E30:E38),2)</f>
        <v>#VALUE!</v>
      </c>
      <c r="G39" s="2">
        <f>VLOOKUP('Verknüpfungen 1'!$A$2,Wertedatenbank!$A$3:$AC$21,Wertedatenbank!C$22)</f>
        <v>956.7</v>
      </c>
      <c r="I39" s="2" t="e">
        <f>IF(E39&lt;G39,G39,E39)</f>
        <v>#VALUE!</v>
      </c>
      <c r="J39" s="2">
        <f>VLOOKUP('Verknüpfungen 1'!$A$2,Wertedatenbank!$A$3:$AC$21,Wertedatenbank!G$22)</f>
        <v>7070</v>
      </c>
      <c r="L39" s="2" t="e">
        <f>IF(I39&gt;J39,J39,I39)</f>
        <v>#VALUE!</v>
      </c>
    </row>
    <row r="40" spans="1:19" x14ac:dyDescent="0.25">
      <c r="D40" s="28"/>
      <c r="E40" s="2"/>
      <c r="F40" s="1"/>
      <c r="G40" s="1"/>
      <c r="H40" s="2"/>
      <c r="I40" s="2"/>
      <c r="J40" s="2"/>
      <c r="K40" s="2"/>
      <c r="L40" s="2"/>
    </row>
    <row r="41" spans="1:19" x14ac:dyDescent="0.25">
      <c r="A41" s="39" t="e">
        <f>ROUNDDOWN(Beitragsberechnung!C5,-2)</f>
        <v>#VALUE!</v>
      </c>
      <c r="D41" s="28"/>
      <c r="E41" s="2"/>
      <c r="F41" s="1"/>
      <c r="G41" s="1"/>
      <c r="H41" s="2"/>
      <c r="I41" s="2"/>
      <c r="J41" s="2"/>
      <c r="K41" s="2"/>
      <c r="L41" s="2"/>
    </row>
    <row r="42" spans="1:19" x14ac:dyDescent="0.25">
      <c r="D42" s="28"/>
      <c r="E42" s="2"/>
      <c r="F42" s="2"/>
      <c r="G42" s="2"/>
      <c r="H42" s="2"/>
      <c r="I42" s="2"/>
      <c r="J42" s="1"/>
      <c r="K42" s="2"/>
      <c r="L42" s="2"/>
    </row>
    <row r="43" spans="1:19" x14ac:dyDescent="0.25">
      <c r="E43" s="2"/>
    </row>
    <row r="44" spans="1:19" x14ac:dyDescent="0.25">
      <c r="C44" s="45" t="s">
        <v>68</v>
      </c>
      <c r="D44" s="44" t="s">
        <v>64</v>
      </c>
      <c r="E44" s="2">
        <f>IF('Verknüpfungen 1'!G1=4,E17*2,E17)</f>
        <v>0</v>
      </c>
    </row>
    <row r="45" spans="1:19" x14ac:dyDescent="0.25">
      <c r="D45" s="28"/>
      <c r="E45" s="2"/>
    </row>
    <row r="46" spans="1:19" x14ac:dyDescent="0.25">
      <c r="D46" s="28"/>
      <c r="E46" s="2"/>
      <c r="G46" s="40"/>
      <c r="H46" s="40"/>
      <c r="I46" s="40"/>
      <c r="J46" s="40"/>
      <c r="K46" s="29"/>
      <c r="L46" s="29"/>
    </row>
    <row r="47" spans="1:19" x14ac:dyDescent="0.25">
      <c r="D47" s="28"/>
      <c r="F47" s="40"/>
      <c r="G47" s="40"/>
      <c r="H47" s="40"/>
      <c r="I47" s="40"/>
      <c r="J47" s="40"/>
      <c r="K47" s="29"/>
      <c r="L47" s="29" t="s">
        <v>95</v>
      </c>
    </row>
    <row r="48" spans="1:19" x14ac:dyDescent="0.25">
      <c r="F48" s="29"/>
      <c r="G48" s="29" t="s">
        <v>93</v>
      </c>
      <c r="H48" s="29"/>
      <c r="I48" s="29" t="s">
        <v>94</v>
      </c>
      <c r="J48" s="29" t="s">
        <v>36</v>
      </c>
      <c r="K48" s="29"/>
      <c r="L48" s="29" t="s">
        <v>62</v>
      </c>
    </row>
    <row r="49" spans="3:12" x14ac:dyDescent="0.25">
      <c r="C49" s="45" t="s">
        <v>69</v>
      </c>
      <c r="D49" s="44" t="s">
        <v>64</v>
      </c>
      <c r="E49" s="2" t="e">
        <f>E39+E44</f>
        <v>#VALUE!</v>
      </c>
      <c r="F49" s="2"/>
      <c r="G49" s="2">
        <f>G39</f>
        <v>956.7</v>
      </c>
      <c r="H49" s="2"/>
      <c r="I49" s="2" t="e">
        <f>IF(E49&lt;G49,G49,E49)</f>
        <v>#VALUE!</v>
      </c>
      <c r="J49" s="2">
        <f>J39</f>
        <v>7070</v>
      </c>
      <c r="K49" s="2"/>
      <c r="L49" s="2" t="e">
        <f>IF(I49&gt;J49,J49,I49)</f>
        <v>#VALUE!</v>
      </c>
    </row>
    <row r="50" spans="3:12" x14ac:dyDescent="0.25">
      <c r="D50" s="28"/>
      <c r="E50" s="2"/>
      <c r="F50" s="2"/>
      <c r="G50" s="2"/>
      <c r="H50" s="2"/>
      <c r="I50" s="2"/>
      <c r="J50" s="2"/>
      <c r="K50" s="2"/>
      <c r="L50" s="2"/>
    </row>
    <row r="51" spans="3:12" x14ac:dyDescent="0.25">
      <c r="D51" s="28"/>
      <c r="E51" s="2"/>
      <c r="F51" s="2"/>
      <c r="G51" s="2"/>
      <c r="H51" s="2"/>
      <c r="I51" s="2"/>
      <c r="J51" s="2"/>
      <c r="K51" s="2"/>
      <c r="L51" s="2"/>
    </row>
    <row r="52" spans="3:12" x14ac:dyDescent="0.25">
      <c r="D52" s="28"/>
      <c r="E52" s="2"/>
      <c r="F52" s="2"/>
      <c r="G52" s="2"/>
      <c r="H52" s="2"/>
      <c r="I52" s="2"/>
      <c r="J52" s="2"/>
      <c r="K52" s="2"/>
      <c r="L52" s="2"/>
    </row>
  </sheetData>
  <mergeCells count="2">
    <mergeCell ref="A1:B1"/>
    <mergeCell ref="A28:B28"/>
  </mergeCells>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49"/>
  <sheetViews>
    <sheetView zoomScaleNormal="100" workbookViewId="0">
      <selection activeCell="G12" sqref="G12"/>
    </sheetView>
  </sheetViews>
  <sheetFormatPr baseColWidth="10" defaultRowHeight="13.8" x14ac:dyDescent="0.25"/>
  <cols>
    <col min="1" max="2" width="11" style="37"/>
    <col min="3" max="3" width="14.19921875" style="38" customWidth="1"/>
    <col min="4" max="4" width="14.59765625" customWidth="1"/>
    <col min="5" max="5" width="20.19921875" style="1" customWidth="1"/>
    <col min="6" max="17" width="12.8984375" customWidth="1"/>
  </cols>
  <sheetData>
    <row r="1" spans="1:19" ht="15.6" x14ac:dyDescent="0.3">
      <c r="A1" s="507" t="s">
        <v>51</v>
      </c>
      <c r="B1" s="508"/>
      <c r="C1" s="31"/>
      <c r="E1" s="29" t="s">
        <v>55</v>
      </c>
      <c r="F1" s="1"/>
      <c r="G1" s="1"/>
      <c r="H1" s="1"/>
      <c r="I1" s="1"/>
      <c r="J1" s="1"/>
    </row>
    <row r="2" spans="1:19" ht="15.6" x14ac:dyDescent="0.3">
      <c r="A2" s="32" t="s">
        <v>52</v>
      </c>
      <c r="B2" s="33" t="s">
        <v>53</v>
      </c>
      <c r="C2" s="34" t="s">
        <v>54</v>
      </c>
      <c r="E2" s="29" t="s">
        <v>56</v>
      </c>
    </row>
    <row r="3" spans="1:19" x14ac:dyDescent="0.25">
      <c r="A3" s="35"/>
      <c r="B3" s="35">
        <v>5000</v>
      </c>
      <c r="C3" s="36">
        <f>VLOOKUP('Verknüpfungen 2'!$A$2,Wertedatenbank!$A$3:$AC$21,Wertedatenbank!N$22)</f>
        <v>23.350020000000001</v>
      </c>
      <c r="E3" s="43">
        <f>ROUND(IF(A14&lt;A4,A14*C3/100,B3*C3/100),4)</f>
        <v>1167.501</v>
      </c>
    </row>
    <row r="4" spans="1:19" x14ac:dyDescent="0.25">
      <c r="A4" s="35">
        <f>B3+100</f>
        <v>5100</v>
      </c>
      <c r="B4" s="35">
        <v>8700</v>
      </c>
      <c r="C4" s="36">
        <f>VLOOKUP('Verknüpfungen 2'!$A$2,Wertedatenbank!$A$3:$AC$21,Wertedatenbank!O$22)</f>
        <v>25.944500000000001</v>
      </c>
      <c r="E4" s="43">
        <f t="shared" ref="E4:E10" si="0">ROUND(IF($A$14&lt;A4,0,IF($A$14&gt;B4,(B4-B3),($A$14-B3))*C4/100),4)</f>
        <v>959.94650000000001</v>
      </c>
    </row>
    <row r="5" spans="1:19" x14ac:dyDescent="0.25">
      <c r="A5" s="35">
        <f>B4+100</f>
        <v>8800</v>
      </c>
      <c r="B5" s="35">
        <v>10900</v>
      </c>
      <c r="C5" s="36">
        <f>VLOOKUP('Verknüpfungen 2'!$A$2,Wertedatenbank!$A$3:$AC$21,Wertedatenbank!P$22)</f>
        <v>21.079879999999999</v>
      </c>
      <c r="E5" s="43">
        <f t="shared" si="0"/>
        <v>463.75740000000002</v>
      </c>
    </row>
    <row r="6" spans="1:19" x14ac:dyDescent="0.25">
      <c r="A6" s="35">
        <f t="shared" ref="A6:A11" si="1">B5+100</f>
        <v>11000</v>
      </c>
      <c r="B6" s="35">
        <v>14500</v>
      </c>
      <c r="C6" s="36">
        <f>VLOOKUP('Verknüpfungen 2'!$A$2,Wertedatenbank!$A$3:$AC$21,Wertedatenbank!Q$22)</f>
        <v>14.59381</v>
      </c>
      <c r="E6" s="43">
        <f t="shared" si="0"/>
        <v>525.37720000000002</v>
      </c>
    </row>
    <row r="7" spans="1:19" x14ac:dyDescent="0.25">
      <c r="A7" s="35">
        <f t="shared" si="1"/>
        <v>14600</v>
      </c>
      <c r="B7" s="35">
        <v>21800</v>
      </c>
      <c r="C7" s="36">
        <f>VLOOKUP('Verknüpfungen 2'!$A$2,Wertedatenbank!$A$3:$AC$21,Wertedatenbank!R$22)</f>
        <v>11.83719</v>
      </c>
      <c r="E7" s="43">
        <f t="shared" si="0"/>
        <v>864.11490000000003</v>
      </c>
    </row>
    <row r="8" spans="1:19" x14ac:dyDescent="0.25">
      <c r="A8" s="35">
        <f t="shared" si="1"/>
        <v>21900</v>
      </c>
      <c r="B8" s="35">
        <v>29000</v>
      </c>
      <c r="C8" s="36">
        <f>VLOOKUP('Verknüpfungen 2'!$A$2,Wertedatenbank!$A$3:$AC$21,Wertedatenbank!S$22)</f>
        <v>8.7562999999999995</v>
      </c>
      <c r="E8" s="43">
        <f t="shared" si="0"/>
        <v>630.45360000000005</v>
      </c>
    </row>
    <row r="9" spans="1:19" x14ac:dyDescent="0.25">
      <c r="A9" s="35">
        <f t="shared" si="1"/>
        <v>29100</v>
      </c>
      <c r="B9" s="35">
        <v>36300</v>
      </c>
      <c r="C9" s="36">
        <f>VLOOKUP('Verknüpfungen 2'!$A$2,Wertedatenbank!$A$3:$AC$21,Wertedatenbank!T$22)</f>
        <v>6.4861399999999998</v>
      </c>
      <c r="E9" s="43">
        <f t="shared" si="0"/>
        <v>473.48820000000001</v>
      </c>
    </row>
    <row r="10" spans="1:19" x14ac:dyDescent="0.25">
      <c r="A10" s="35">
        <f t="shared" si="1"/>
        <v>36400</v>
      </c>
      <c r="B10" s="35">
        <v>43600</v>
      </c>
      <c r="C10" s="36">
        <f>VLOOKUP('Verknüpfungen 2'!$A$2,Wertedatenbank!$A$3:$AC$21,Wertedatenbank!U$22)</f>
        <v>4.8646200000000004</v>
      </c>
      <c r="E10" s="43">
        <f t="shared" si="0"/>
        <v>355.1173</v>
      </c>
      <c r="F10" s="40"/>
      <c r="G10" s="40"/>
      <c r="H10" s="40"/>
      <c r="I10" s="40"/>
      <c r="J10" s="40"/>
      <c r="K10" s="29" t="s">
        <v>61</v>
      </c>
      <c r="L10" s="29" t="s">
        <v>63</v>
      </c>
      <c r="M10" s="40"/>
      <c r="N10" s="40"/>
      <c r="O10" s="40"/>
      <c r="P10" s="40"/>
      <c r="Q10" s="40"/>
      <c r="R10" s="40"/>
      <c r="S10" s="40"/>
    </row>
    <row r="11" spans="1:19" x14ac:dyDescent="0.25">
      <c r="A11" s="35">
        <f t="shared" si="1"/>
        <v>43700</v>
      </c>
      <c r="B11" s="35"/>
      <c r="C11" s="36">
        <f>VLOOKUP('Verknüpfungen 2'!$A$2,Wertedatenbank!$A$3:$AC$21,Wertedatenbank!V$22)</f>
        <v>3.72953</v>
      </c>
      <c r="E11" s="43" t="e">
        <f>ROUND(IF($A$14&lt;A11,0,($A$14-B10)*C11/100),4)</f>
        <v>#VALUE!</v>
      </c>
      <c r="F11" s="29" t="s">
        <v>57</v>
      </c>
      <c r="G11" s="29" t="s">
        <v>58</v>
      </c>
      <c r="H11" s="29" t="s">
        <v>59</v>
      </c>
      <c r="I11" s="29" t="s">
        <v>60</v>
      </c>
      <c r="J11" s="29" t="s">
        <v>36</v>
      </c>
      <c r="K11" s="29" t="s">
        <v>62</v>
      </c>
      <c r="L11" s="29" t="s">
        <v>62</v>
      </c>
      <c r="M11" s="40"/>
      <c r="N11" s="40"/>
      <c r="O11" s="40"/>
      <c r="P11" s="40"/>
      <c r="Q11" s="40"/>
      <c r="R11" s="40"/>
      <c r="S11" s="40"/>
    </row>
    <row r="12" spans="1:19" s="2" customFormat="1" x14ac:dyDescent="0.25">
      <c r="D12" s="44" t="s">
        <v>64</v>
      </c>
      <c r="E12" s="2" t="e">
        <f>ROUND(SUM(E3:E11),2)</f>
        <v>#VALUE!</v>
      </c>
      <c r="F12" s="2">
        <f>VLOOKUP('Verknüpfungen 2'!$A$2,Wertedatenbank!$A$3:$AC$21,Wertedatenbank!D$22)</f>
        <v>518.44000000000005</v>
      </c>
      <c r="G12" s="2">
        <f>VLOOKUP('Verknüpfungen 2'!$A$2,Wertedatenbank!$A$3:$AC$21,IF(Beitragsberechnung!J3&gt;2019,Wertedatenbank!D$22,Wertedatenbank!C$22))</f>
        <v>518.44000000000005</v>
      </c>
      <c r="H12" s="2" t="e">
        <f>IF(E12&lt;F12,F12,E12)</f>
        <v>#VALUE!</v>
      </c>
      <c r="I12" s="2" t="e">
        <f>IF(E12&lt;G12,G12,E12)</f>
        <v>#VALUE!</v>
      </c>
      <c r="J12" s="2">
        <f>VLOOKUP('Verknüpfungen 2'!$A$2,Wertedatenbank!$A$3:$AC$21,Wertedatenbank!G$22)</f>
        <v>7070</v>
      </c>
      <c r="K12" s="2" t="e">
        <f>IF(H12&gt;J12,J12,H12)</f>
        <v>#VALUE!</v>
      </c>
      <c r="L12" s="2" t="e">
        <f>IF(I12&gt;J12,J12,I12)</f>
        <v>#VALUE!</v>
      </c>
    </row>
    <row r="13" spans="1:19" x14ac:dyDescent="0.25">
      <c r="D13" s="28" t="s">
        <v>65</v>
      </c>
      <c r="E13" s="2" t="e">
        <f>ROUND(E12/2,2)</f>
        <v>#VALUE!</v>
      </c>
      <c r="F13" s="1">
        <f>ROUND(F12/2,2)</f>
        <v>259.22000000000003</v>
      </c>
      <c r="G13" s="1">
        <f>ROUND(G12/2,2)</f>
        <v>259.22000000000003</v>
      </c>
      <c r="H13" s="2" t="e">
        <f>IF(E13&lt;F13,F13,E13)</f>
        <v>#VALUE!</v>
      </c>
      <c r="I13" s="2" t="e">
        <f>IF(E13&lt;G13,G13,E13)</f>
        <v>#VALUE!</v>
      </c>
      <c r="J13" s="2">
        <f>J12</f>
        <v>7070</v>
      </c>
      <c r="K13" s="2" t="e">
        <f>IF(H13&gt;J13,J13,H13)</f>
        <v>#VALUE!</v>
      </c>
      <c r="L13" s="2" t="e">
        <f>IF(I13&gt;J13,J13,I13)</f>
        <v>#VALUE!</v>
      </c>
    </row>
    <row r="14" spans="1:19" x14ac:dyDescent="0.25">
      <c r="A14" s="39" t="str">
        <f>'Verknüpfungen 2'!E2</f>
        <v/>
      </c>
      <c r="D14" s="28" t="s">
        <v>66</v>
      </c>
      <c r="E14" s="2" t="e">
        <f>E13</f>
        <v>#VALUE!</v>
      </c>
      <c r="F14" s="1">
        <f>F13</f>
        <v>259.22000000000003</v>
      </c>
      <c r="G14" s="1">
        <f>G13</f>
        <v>259.22000000000003</v>
      </c>
      <c r="H14" s="2" t="e">
        <f>IF(E14&lt;F14,F14,E14)</f>
        <v>#VALUE!</v>
      </c>
      <c r="I14" s="2" t="e">
        <f>IF(E14&lt;G14,G14,E14)</f>
        <v>#VALUE!</v>
      </c>
      <c r="J14" s="2">
        <f>J13/2</f>
        <v>3535</v>
      </c>
      <c r="K14" s="2" t="e">
        <f>IF(H14&gt;J14,J14,H14)</f>
        <v>#VALUE!</v>
      </c>
      <c r="L14" s="2" t="e">
        <f>IF(I14&gt;J14,J14,I14)</f>
        <v>#VALUE!</v>
      </c>
    </row>
    <row r="15" spans="1:19" x14ac:dyDescent="0.25">
      <c r="D15" s="28" t="s">
        <v>67</v>
      </c>
      <c r="E15" s="2" t="e">
        <f>ROUND(E12/3,2)</f>
        <v>#VALUE!</v>
      </c>
      <c r="F15" s="2">
        <f>F12</f>
        <v>518.44000000000005</v>
      </c>
      <c r="G15" s="2">
        <f>F15</f>
        <v>518.44000000000005</v>
      </c>
      <c r="H15" s="2" t="e">
        <f>IF(E15&lt;F15,F15,E15)</f>
        <v>#VALUE!</v>
      </c>
      <c r="I15" s="2" t="e">
        <f>IF(E15&lt;G15,G15,E15)</f>
        <v>#VALUE!</v>
      </c>
      <c r="J15" s="1">
        <f>ROUND(J12/3,2)</f>
        <v>2356.67</v>
      </c>
      <c r="K15" s="2" t="e">
        <f>IF(H15&gt;J15,J15,H15)</f>
        <v>#VALUE!</v>
      </c>
      <c r="L15" s="2" t="e">
        <f>IF(I15&gt;J15,J15,I15)</f>
        <v>#VALUE!</v>
      </c>
    </row>
    <row r="16" spans="1:19" x14ac:dyDescent="0.25">
      <c r="A16" s="196">
        <f>'Verknüpfungen 2'!H1</f>
        <v>1</v>
      </c>
      <c r="E16" s="2"/>
    </row>
    <row r="17" spans="1:12" x14ac:dyDescent="0.25">
      <c r="A17" s="196">
        <f>IF(A14&lt;1500,IF(A16=3,1,0),0)</f>
        <v>0</v>
      </c>
      <c r="C17" s="45" t="s">
        <v>68</v>
      </c>
      <c r="D17" s="44" t="s">
        <v>64</v>
      </c>
      <c r="E17" s="2">
        <f>ROUND(ROUND('Verknüpfungen 2'!C9/12,2)/IF('Verknüpfungen 2'!G1=4,2,1),2)</f>
        <v>0</v>
      </c>
    </row>
    <row r="18" spans="1:12" x14ac:dyDescent="0.25">
      <c r="D18" s="28" t="s">
        <v>65</v>
      </c>
      <c r="E18" s="2">
        <f>ROUND(E17/2,2)</f>
        <v>0</v>
      </c>
    </row>
    <row r="19" spans="1:12" x14ac:dyDescent="0.25">
      <c r="D19" s="28" t="s">
        <v>66</v>
      </c>
      <c r="E19" s="2">
        <f>E18</f>
        <v>0</v>
      </c>
    </row>
    <row r="20" spans="1:12" x14ac:dyDescent="0.25">
      <c r="D20" s="28" t="s">
        <v>67</v>
      </c>
      <c r="E20" s="1">
        <f>ROUND(E17/3,2)</f>
        <v>0</v>
      </c>
      <c r="F20" s="40"/>
      <c r="G20" s="40"/>
      <c r="H20" s="40"/>
      <c r="I20" s="40"/>
      <c r="J20" s="40"/>
      <c r="K20" s="29" t="s">
        <v>61</v>
      </c>
      <c r="L20" s="29" t="s">
        <v>63</v>
      </c>
    </row>
    <row r="21" spans="1:12" x14ac:dyDescent="0.25">
      <c r="F21" s="29" t="s">
        <v>57</v>
      </c>
      <c r="G21" s="29" t="s">
        <v>58</v>
      </c>
      <c r="H21" s="29" t="s">
        <v>59</v>
      </c>
      <c r="I21" s="29" t="s">
        <v>60</v>
      </c>
      <c r="J21" s="29" t="s">
        <v>36</v>
      </c>
      <c r="K21" s="29" t="s">
        <v>62</v>
      </c>
      <c r="L21" s="29" t="s">
        <v>62</v>
      </c>
    </row>
    <row r="22" spans="1:12" x14ac:dyDescent="0.25">
      <c r="C22" s="45" t="s">
        <v>69</v>
      </c>
      <c r="D22" s="44" t="s">
        <v>64</v>
      </c>
      <c r="E22" s="2" t="e">
        <f>E12+E17</f>
        <v>#VALUE!</v>
      </c>
      <c r="F22" s="2">
        <f>F12</f>
        <v>518.44000000000005</v>
      </c>
      <c r="G22" s="2">
        <f>G12</f>
        <v>518.44000000000005</v>
      </c>
      <c r="H22" s="2" t="e">
        <f>IF(E22&lt;F22,F22,E22)</f>
        <v>#VALUE!</v>
      </c>
      <c r="I22" s="2" t="e">
        <f>IF(E22&lt;G22,G22,E22)</f>
        <v>#VALUE!</v>
      </c>
      <c r="J22" s="2">
        <f>J12</f>
        <v>7070</v>
      </c>
      <c r="K22" s="2" t="e">
        <f>IF(H22&gt;J22,J22,H22)</f>
        <v>#VALUE!</v>
      </c>
      <c r="L22" s="2" t="e">
        <f>IF(I22&gt;J22,J22,I22)</f>
        <v>#VALUE!</v>
      </c>
    </row>
    <row r="23" spans="1:12" x14ac:dyDescent="0.25">
      <c r="D23" s="28" t="s">
        <v>65</v>
      </c>
      <c r="E23" s="2" t="e">
        <f>E13+E18</f>
        <v>#VALUE!</v>
      </c>
      <c r="F23" s="2">
        <f t="shared" ref="F23:G25" si="2">F13</f>
        <v>259.22000000000003</v>
      </c>
      <c r="G23" s="2">
        <f t="shared" si="2"/>
        <v>259.22000000000003</v>
      </c>
      <c r="H23" s="2" t="e">
        <f>IF(E23&lt;F23,F23,E23)</f>
        <v>#VALUE!</v>
      </c>
      <c r="I23" s="2" t="e">
        <f>IF(E23&lt;G23,G23,E23)</f>
        <v>#VALUE!</v>
      </c>
      <c r="J23" s="2">
        <f>J13</f>
        <v>7070</v>
      </c>
      <c r="K23" s="2" t="e">
        <f>IF(A17=1,K22,IF(H23&gt;J23,J23,H23))</f>
        <v>#VALUE!</v>
      </c>
      <c r="L23" s="2" t="e">
        <f>IF(A17=1,L22,IF(I23&gt;J23,J23,I23))</f>
        <v>#VALUE!</v>
      </c>
    </row>
    <row r="24" spans="1:12" x14ac:dyDescent="0.25">
      <c r="D24" s="28" t="s">
        <v>66</v>
      </c>
      <c r="E24" s="2" t="e">
        <f>E14+E19</f>
        <v>#VALUE!</v>
      </c>
      <c r="F24" s="2">
        <f t="shared" si="2"/>
        <v>259.22000000000003</v>
      </c>
      <c r="G24" s="2">
        <f t="shared" si="2"/>
        <v>259.22000000000003</v>
      </c>
      <c r="H24" s="2" t="e">
        <f>IF(E24&lt;F24,F24,E24)</f>
        <v>#VALUE!</v>
      </c>
      <c r="I24" s="2" t="e">
        <f>IF(E24&lt;G24,G24,E24)</f>
        <v>#VALUE!</v>
      </c>
      <c r="J24" s="2">
        <f>J14</f>
        <v>3535</v>
      </c>
      <c r="K24" s="2" t="e">
        <f>IF(H24&gt;J24,J24,H24)</f>
        <v>#VALUE!</v>
      </c>
      <c r="L24" s="2" t="e">
        <f>IF(I24&gt;J24,J24,I24)</f>
        <v>#VALUE!</v>
      </c>
    </row>
    <row r="25" spans="1:12" x14ac:dyDescent="0.25">
      <c r="D25" s="28" t="s">
        <v>67</v>
      </c>
      <c r="E25" s="2" t="e">
        <f>E15+E20</f>
        <v>#VALUE!</v>
      </c>
      <c r="F25" s="2">
        <f t="shared" si="2"/>
        <v>518.44000000000005</v>
      </c>
      <c r="G25" s="2">
        <f t="shared" si="2"/>
        <v>518.44000000000005</v>
      </c>
      <c r="H25" s="2" t="e">
        <f>IF(E25&lt;F25,F25,E25)</f>
        <v>#VALUE!</v>
      </c>
      <c r="I25" s="2" t="e">
        <f>IF(E25&lt;G25,G25,E25)</f>
        <v>#VALUE!</v>
      </c>
      <c r="J25" s="2">
        <f>J15</f>
        <v>2356.67</v>
      </c>
      <c r="K25" s="2" t="e">
        <f>IF(H25&gt;J25,J25,H25)</f>
        <v>#VALUE!</v>
      </c>
      <c r="L25" s="2" t="e">
        <f>IF(I25&gt;J25,J25,I25)</f>
        <v>#VALUE!</v>
      </c>
    </row>
    <row r="26" spans="1:12" x14ac:dyDescent="0.25">
      <c r="D26" s="28" t="s">
        <v>116</v>
      </c>
      <c r="E26" s="2" t="e">
        <f>ROUND(E25/2,2)</f>
        <v>#VALUE!</v>
      </c>
      <c r="F26" s="1">
        <f>ROUND(F25/2,2)</f>
        <v>259.22000000000003</v>
      </c>
      <c r="G26" s="1">
        <f>ROUND(G25/2,2)</f>
        <v>259.22000000000003</v>
      </c>
      <c r="H26" s="2" t="e">
        <f>IF(E26&lt;F26,F26,E26)</f>
        <v>#VALUE!</v>
      </c>
      <c r="I26" s="2" t="e">
        <f>IF(E26&lt;G26,G26,E26)</f>
        <v>#VALUE!</v>
      </c>
      <c r="J26" s="2">
        <f>J25</f>
        <v>2356.67</v>
      </c>
      <c r="K26" s="2" t="e">
        <f>IF(H26&gt;J26,J26,H26)</f>
        <v>#VALUE!</v>
      </c>
      <c r="L26" s="2" t="e">
        <f>IF(I26&gt;J26,J26,I26)</f>
        <v>#VALUE!</v>
      </c>
    </row>
    <row r="28" spans="1:12" ht="15.6" x14ac:dyDescent="0.3">
      <c r="A28" s="507" t="s">
        <v>51</v>
      </c>
      <c r="B28" s="508"/>
      <c r="C28" s="31"/>
      <c r="E28" s="29" t="s">
        <v>55</v>
      </c>
      <c r="F28" s="1"/>
      <c r="G28" s="1"/>
      <c r="H28" s="1"/>
      <c r="I28" s="1"/>
      <c r="J28" s="1"/>
    </row>
    <row r="29" spans="1:12" ht="15.6" x14ac:dyDescent="0.3">
      <c r="A29" s="32" t="s">
        <v>52</v>
      </c>
      <c r="B29" s="33" t="s">
        <v>53</v>
      </c>
      <c r="C29" s="34" t="s">
        <v>54</v>
      </c>
      <c r="E29" s="29" t="s">
        <v>56</v>
      </c>
    </row>
    <row r="30" spans="1:12" x14ac:dyDescent="0.25">
      <c r="A30" s="35"/>
      <c r="B30" s="35">
        <v>5000</v>
      </c>
      <c r="C30" s="36">
        <f>VLOOKUP('Verknüpfungen 2'!$A$2,Wertedatenbank!$A$3:$AC$21,Wertedatenbank!N$22)</f>
        <v>23.350020000000001</v>
      </c>
      <c r="E30" s="43" t="e">
        <f>ROUND(IF(A41&lt;A31,A41*C30/100,B30*C30/100),4)</f>
        <v>#VALUE!</v>
      </c>
    </row>
    <row r="31" spans="1:12" x14ac:dyDescent="0.25">
      <c r="A31" s="35">
        <f>B30+100</f>
        <v>5100</v>
      </c>
      <c r="B31" s="35">
        <v>8700</v>
      </c>
      <c r="C31" s="36">
        <f>VLOOKUP('Verknüpfungen 2'!$A$2,Wertedatenbank!$A$3:$AC$21,Wertedatenbank!O$22)</f>
        <v>25.944500000000001</v>
      </c>
      <c r="E31" s="43" t="e">
        <f>ROUND(IF($A$41&lt;A31,0,IF($A$41&gt;B31,(B31-B30),($A$41-B30))*C31/100),4)</f>
        <v>#VALUE!</v>
      </c>
    </row>
    <row r="32" spans="1:12" x14ac:dyDescent="0.25">
      <c r="A32" s="35">
        <f>B31+100</f>
        <v>8800</v>
      </c>
      <c r="B32" s="35">
        <v>10900</v>
      </c>
      <c r="C32" s="36">
        <f>VLOOKUP('Verknüpfungen 2'!$A$2,Wertedatenbank!$A$3:$AC$21,Wertedatenbank!P$22)</f>
        <v>21.079879999999999</v>
      </c>
      <c r="E32" s="43" t="e">
        <f t="shared" ref="E32:E37" si="3">ROUND(IF($A$41&lt;A32,0,IF($A$41&gt;B32,(B32-B31),($A$41-B31))*C32/100),4)</f>
        <v>#VALUE!</v>
      </c>
    </row>
    <row r="33" spans="1:19" x14ac:dyDescent="0.25">
      <c r="A33" s="35">
        <f t="shared" ref="A33:A38" si="4">B32+100</f>
        <v>11000</v>
      </c>
      <c r="B33" s="35">
        <v>14500</v>
      </c>
      <c r="C33" s="36">
        <f>VLOOKUP('Verknüpfungen 2'!$A$2,Wertedatenbank!$A$3:$AC$21,Wertedatenbank!Q$22)</f>
        <v>14.59381</v>
      </c>
      <c r="E33" s="43" t="e">
        <f t="shared" si="3"/>
        <v>#VALUE!</v>
      </c>
    </row>
    <row r="34" spans="1:19" x14ac:dyDescent="0.25">
      <c r="A34" s="35">
        <f t="shared" si="4"/>
        <v>14600</v>
      </c>
      <c r="B34" s="35">
        <v>21800</v>
      </c>
      <c r="C34" s="36">
        <f>VLOOKUP('Verknüpfungen 2'!$A$2,Wertedatenbank!$A$3:$AC$21,Wertedatenbank!R$22)</f>
        <v>11.83719</v>
      </c>
      <c r="E34" s="43" t="e">
        <f t="shared" si="3"/>
        <v>#VALUE!</v>
      </c>
    </row>
    <row r="35" spans="1:19" x14ac:dyDescent="0.25">
      <c r="A35" s="35">
        <f t="shared" si="4"/>
        <v>21900</v>
      </c>
      <c r="B35" s="35">
        <v>29000</v>
      </c>
      <c r="C35" s="36">
        <f>VLOOKUP('Verknüpfungen 2'!$A$2,Wertedatenbank!$A$3:$AC$21,Wertedatenbank!S$22)</f>
        <v>8.7562999999999995</v>
      </c>
      <c r="E35" s="43" t="e">
        <f t="shared" si="3"/>
        <v>#VALUE!</v>
      </c>
    </row>
    <row r="36" spans="1:19" x14ac:dyDescent="0.25">
      <c r="A36" s="35">
        <f t="shared" si="4"/>
        <v>29100</v>
      </c>
      <c r="B36" s="35">
        <v>36300</v>
      </c>
      <c r="C36" s="36">
        <f>VLOOKUP('Verknüpfungen 2'!$A$2,Wertedatenbank!$A$3:$AC$21,Wertedatenbank!T$22)</f>
        <v>6.4861399999999998</v>
      </c>
      <c r="E36" s="43" t="e">
        <f t="shared" si="3"/>
        <v>#VALUE!</v>
      </c>
    </row>
    <row r="37" spans="1:19" x14ac:dyDescent="0.25">
      <c r="A37" s="35">
        <f t="shared" si="4"/>
        <v>36400</v>
      </c>
      <c r="B37" s="35">
        <v>43600</v>
      </c>
      <c r="C37" s="36">
        <f>VLOOKUP('Verknüpfungen 2'!$A$2,Wertedatenbank!$A$3:$AC$21,Wertedatenbank!U$22)</f>
        <v>4.8646200000000004</v>
      </c>
      <c r="E37" s="43" t="e">
        <f t="shared" si="3"/>
        <v>#VALUE!</v>
      </c>
      <c r="F37" s="40"/>
      <c r="G37" s="40"/>
      <c r="H37" s="40"/>
      <c r="I37" s="40"/>
      <c r="J37" s="40"/>
      <c r="K37" s="29"/>
      <c r="L37" s="29" t="s">
        <v>95</v>
      </c>
      <c r="M37" s="40"/>
      <c r="N37" s="40"/>
      <c r="O37" s="40"/>
      <c r="P37" s="40"/>
      <c r="Q37" s="40"/>
      <c r="R37" s="40"/>
      <c r="S37" s="40"/>
    </row>
    <row r="38" spans="1:19" x14ac:dyDescent="0.25">
      <c r="A38" s="35">
        <f t="shared" si="4"/>
        <v>43700</v>
      </c>
      <c r="B38" s="35"/>
      <c r="C38" s="36">
        <f>VLOOKUP('Verknüpfungen 2'!$A$2,Wertedatenbank!$A$3:$AC$21,Wertedatenbank!V$22)</f>
        <v>3.72953</v>
      </c>
      <c r="E38" s="43" t="e">
        <f>ROUND(IF($A$41&lt;A38,0,($A$41-B37)*C38/100),4)</f>
        <v>#VALUE!</v>
      </c>
      <c r="F38" s="29"/>
      <c r="G38" s="29" t="s">
        <v>93</v>
      </c>
      <c r="H38" s="29"/>
      <c r="I38" s="29" t="s">
        <v>94</v>
      </c>
      <c r="J38" s="29" t="s">
        <v>36</v>
      </c>
      <c r="K38" s="29"/>
      <c r="L38" s="29" t="s">
        <v>62</v>
      </c>
      <c r="M38" s="40"/>
      <c r="N38" s="40"/>
      <c r="O38" s="40"/>
      <c r="P38" s="40"/>
      <c r="Q38" s="40"/>
      <c r="R38" s="40"/>
      <c r="S38" s="40"/>
    </row>
    <row r="39" spans="1:19" s="2" customFormat="1" x14ac:dyDescent="0.25">
      <c r="D39" s="44" t="s">
        <v>64</v>
      </c>
      <c r="E39" s="2" t="e">
        <f>ROUND(SUM(E30:E38),2)</f>
        <v>#VALUE!</v>
      </c>
      <c r="G39" s="2">
        <f>VLOOKUP('Verknüpfungen 2'!$A$2,Wertedatenbank!$A$3:$AC$21,Wertedatenbank!C$22)</f>
        <v>956.7</v>
      </c>
      <c r="I39" s="2" t="e">
        <f>IF(E39&lt;G39,G39,E39)</f>
        <v>#VALUE!</v>
      </c>
      <c r="J39" s="2">
        <f>VLOOKUP('Verknüpfungen 2'!$A$2,Wertedatenbank!$A$3:$AC$21,Wertedatenbank!G$22)</f>
        <v>7070</v>
      </c>
      <c r="L39" s="2" t="e">
        <f>IF(I39&gt;J39,J39,I39)</f>
        <v>#VALUE!</v>
      </c>
    </row>
    <row r="40" spans="1:19" x14ac:dyDescent="0.25">
      <c r="D40" s="28"/>
      <c r="E40" s="2"/>
      <c r="F40" s="1"/>
      <c r="G40" s="1"/>
      <c r="H40" s="2"/>
      <c r="I40" s="2"/>
      <c r="J40" s="2"/>
      <c r="K40" s="2"/>
      <c r="L40" s="2"/>
    </row>
    <row r="41" spans="1:19" x14ac:dyDescent="0.25">
      <c r="A41" s="39" t="e">
        <f>ROUNDDOWN(Beitragsberechnung!J5,-2)</f>
        <v>#VALUE!</v>
      </c>
      <c r="D41" s="28"/>
      <c r="E41" s="2"/>
      <c r="F41" s="1"/>
      <c r="G41" s="1"/>
      <c r="H41" s="2"/>
      <c r="I41" s="2"/>
      <c r="J41" s="2"/>
      <c r="K41" s="2"/>
      <c r="L41" s="2"/>
    </row>
    <row r="42" spans="1:19" x14ac:dyDescent="0.25">
      <c r="D42" s="28"/>
      <c r="E42" s="2"/>
      <c r="F42" s="2"/>
      <c r="G42" s="2"/>
      <c r="H42" s="2"/>
      <c r="I42" s="2"/>
      <c r="J42" s="1"/>
      <c r="K42" s="2"/>
      <c r="L42" s="2"/>
    </row>
    <row r="43" spans="1:19" x14ac:dyDescent="0.25">
      <c r="E43" s="2"/>
    </row>
    <row r="44" spans="1:19" x14ac:dyDescent="0.25">
      <c r="C44" s="45" t="s">
        <v>68</v>
      </c>
      <c r="D44" s="44" t="s">
        <v>64</v>
      </c>
      <c r="E44" s="2">
        <f>IF('Verknüpfungen 2'!G1=4,E17*2,E17)</f>
        <v>0</v>
      </c>
    </row>
    <row r="45" spans="1:19" x14ac:dyDescent="0.25">
      <c r="D45" s="28"/>
      <c r="E45" s="2"/>
    </row>
    <row r="46" spans="1:19" x14ac:dyDescent="0.25">
      <c r="D46" s="28"/>
      <c r="E46" s="2"/>
      <c r="G46" s="40"/>
      <c r="H46" s="40"/>
      <c r="I46" s="40"/>
      <c r="J46" s="40"/>
      <c r="K46" s="29"/>
      <c r="L46" s="29"/>
    </row>
    <row r="47" spans="1:19" x14ac:dyDescent="0.25">
      <c r="D47" s="28"/>
      <c r="F47" s="40"/>
      <c r="G47" s="40"/>
      <c r="H47" s="40"/>
      <c r="I47" s="40"/>
      <c r="J47" s="40"/>
      <c r="K47" s="29"/>
      <c r="L47" s="29" t="s">
        <v>95</v>
      </c>
    </row>
    <row r="48" spans="1:19" x14ac:dyDescent="0.25">
      <c r="F48" s="29"/>
      <c r="G48" s="29" t="s">
        <v>93</v>
      </c>
      <c r="H48" s="29"/>
      <c r="I48" s="29" t="s">
        <v>94</v>
      </c>
      <c r="J48" s="29" t="s">
        <v>36</v>
      </c>
      <c r="K48" s="29"/>
      <c r="L48" s="29" t="s">
        <v>62</v>
      </c>
    </row>
    <row r="49" spans="3:12" x14ac:dyDescent="0.25">
      <c r="C49" s="45" t="s">
        <v>69</v>
      </c>
      <c r="D49" s="44" t="s">
        <v>64</v>
      </c>
      <c r="E49" s="2" t="e">
        <f>E39+E44</f>
        <v>#VALUE!</v>
      </c>
      <c r="F49" s="2"/>
      <c r="G49" s="2">
        <f>G39</f>
        <v>956.7</v>
      </c>
      <c r="H49" s="2"/>
      <c r="I49" s="2" t="e">
        <f>IF(E49&lt;G49,G49,E49)</f>
        <v>#VALUE!</v>
      </c>
      <c r="J49" s="2">
        <f>J39</f>
        <v>7070</v>
      </c>
      <c r="K49" s="2"/>
      <c r="L49" s="2" t="e">
        <f>IF(I49&gt;J49,J49,I49)</f>
        <v>#VALUE!</v>
      </c>
    </row>
  </sheetData>
  <mergeCells count="2">
    <mergeCell ref="A1:B1"/>
    <mergeCell ref="A28:B28"/>
  </mergeCells>
  <phoneticPr fontId="6" type="noConversion"/>
  <pageMargins left="0.78740157499999996" right="0.78740157499999996" top="0.984251969" bottom="0.984251969" header="0.4921259845" footer="0.492125984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C23"/>
  <sheetViews>
    <sheetView topLeftCell="Q1" zoomScaleNormal="100" workbookViewId="0">
      <selection activeCell="AA15" sqref="AA15"/>
    </sheetView>
  </sheetViews>
  <sheetFormatPr baseColWidth="10" defaultColWidth="11" defaultRowHeight="13.8" x14ac:dyDescent="0.25"/>
  <cols>
    <col min="1" max="1" width="9.19921875" style="29" customWidth="1"/>
    <col min="2" max="2" width="13" style="5" customWidth="1"/>
    <col min="3" max="7" width="14" style="7" customWidth="1"/>
    <col min="8" max="11" width="11" style="8"/>
    <col min="12" max="12" width="14.69921875" style="8" customWidth="1"/>
    <col min="13" max="13" width="16.09765625" style="8" customWidth="1"/>
    <col min="14" max="22" width="11" style="8"/>
    <col min="23" max="23" width="14.59765625" style="8" customWidth="1"/>
    <col min="24" max="24" width="14.59765625" style="4" customWidth="1"/>
    <col min="25" max="26" width="14.59765625" style="158" customWidth="1"/>
    <col min="27" max="27" width="57.69921875" style="8" customWidth="1"/>
    <col min="28" max="29" width="14.59765625" style="8" customWidth="1"/>
    <col min="30" max="16384" width="11" style="8"/>
  </cols>
  <sheetData>
    <row r="1" spans="1:29" s="14" customFormat="1" x14ac:dyDescent="0.25">
      <c r="A1" s="517" t="s">
        <v>33</v>
      </c>
      <c r="B1" s="519" t="s">
        <v>34</v>
      </c>
      <c r="C1" s="512" t="s">
        <v>48</v>
      </c>
      <c r="D1" s="512" t="s">
        <v>49</v>
      </c>
      <c r="E1" s="10" t="s">
        <v>35</v>
      </c>
      <c r="F1" s="10" t="s">
        <v>35</v>
      </c>
      <c r="G1" s="521" t="s">
        <v>36</v>
      </c>
      <c r="H1" s="514" t="s">
        <v>50</v>
      </c>
      <c r="I1" s="515"/>
      <c r="J1" s="515"/>
      <c r="K1" s="516"/>
      <c r="L1" s="9" t="s">
        <v>42</v>
      </c>
      <c r="M1" s="30" t="s">
        <v>41</v>
      </c>
      <c r="N1" s="11"/>
      <c r="O1" s="12"/>
      <c r="P1" s="12"/>
      <c r="Q1" s="12"/>
      <c r="R1" s="12"/>
      <c r="S1" s="12"/>
      <c r="T1" s="12"/>
      <c r="U1" s="12"/>
      <c r="V1" s="13"/>
      <c r="W1" s="10" t="s">
        <v>29</v>
      </c>
      <c r="X1" s="10" t="s">
        <v>30</v>
      </c>
      <c r="Y1" s="10" t="s">
        <v>31</v>
      </c>
      <c r="Z1" s="10" t="s">
        <v>32</v>
      </c>
      <c r="AA1" s="9" t="s">
        <v>14</v>
      </c>
      <c r="AB1" s="9"/>
      <c r="AC1" s="9"/>
    </row>
    <row r="2" spans="1:29" s="14" customFormat="1" x14ac:dyDescent="0.25">
      <c r="A2" s="518"/>
      <c r="B2" s="520"/>
      <c r="C2" s="513"/>
      <c r="D2" s="513"/>
      <c r="E2" s="16" t="s">
        <v>46</v>
      </c>
      <c r="F2" s="16" t="s">
        <v>43</v>
      </c>
      <c r="G2" s="513"/>
      <c r="H2" s="15" t="s">
        <v>37</v>
      </c>
      <c r="I2" s="15" t="s">
        <v>38</v>
      </c>
      <c r="J2" s="15" t="s">
        <v>39</v>
      </c>
      <c r="K2" s="15" t="s">
        <v>40</v>
      </c>
      <c r="L2" s="15" t="s">
        <v>47</v>
      </c>
      <c r="M2" s="15" t="s">
        <v>44</v>
      </c>
      <c r="N2" s="509" t="s">
        <v>45</v>
      </c>
      <c r="O2" s="510"/>
      <c r="P2" s="510"/>
      <c r="Q2" s="510"/>
      <c r="R2" s="510"/>
      <c r="S2" s="510"/>
      <c r="T2" s="510"/>
      <c r="U2" s="510"/>
      <c r="V2" s="511"/>
      <c r="W2" s="16" t="s">
        <v>35</v>
      </c>
      <c r="X2" s="16" t="s">
        <v>35</v>
      </c>
      <c r="Y2" s="16" t="s">
        <v>36</v>
      </c>
      <c r="Z2" s="16" t="s">
        <v>36</v>
      </c>
      <c r="AA2" s="15" t="s">
        <v>15</v>
      </c>
      <c r="AB2" s="15"/>
      <c r="AC2" s="15"/>
    </row>
    <row r="3" spans="1:29" ht="22.5" customHeight="1" x14ac:dyDescent="0.25">
      <c r="A3" s="17">
        <v>2014</v>
      </c>
      <c r="B3" s="18">
        <v>1.022</v>
      </c>
      <c r="C3" s="19">
        <v>729.47</v>
      </c>
      <c r="D3" s="19">
        <v>395.31</v>
      </c>
      <c r="E3" s="19">
        <v>1370.76</v>
      </c>
      <c r="F3" s="19">
        <v>729.47</v>
      </c>
      <c r="G3" s="19">
        <v>5285</v>
      </c>
      <c r="H3" s="51">
        <v>7.6499999999999999E-2</v>
      </c>
      <c r="I3" s="51">
        <v>0.16500000000000001</v>
      </c>
      <c r="J3" s="51">
        <v>1.9E-2</v>
      </c>
      <c r="K3" s="51">
        <v>4.0000000000000001E-3</v>
      </c>
      <c r="L3" s="51">
        <v>1.5299999999999999E-2</v>
      </c>
      <c r="M3" s="19">
        <v>3700</v>
      </c>
      <c r="N3" s="3">
        <v>17.804010000000002</v>
      </c>
      <c r="O3" s="3">
        <v>19.782250000000001</v>
      </c>
      <c r="P3" s="3">
        <v>16.073049999999999</v>
      </c>
      <c r="Q3" s="3">
        <v>11.127549999999999</v>
      </c>
      <c r="R3" s="3">
        <v>9.0256699999999999</v>
      </c>
      <c r="S3" s="3">
        <v>6.67652</v>
      </c>
      <c r="T3" s="3">
        <v>4.94557</v>
      </c>
      <c r="U3" s="3">
        <v>3.70919</v>
      </c>
      <c r="V3" s="3">
        <v>2.8437000000000001</v>
      </c>
      <c r="W3" s="19">
        <v>4000</v>
      </c>
      <c r="X3" s="19">
        <v>2200</v>
      </c>
      <c r="Y3" s="19">
        <v>83600</v>
      </c>
      <c r="Z3" s="19">
        <v>269500</v>
      </c>
      <c r="AA3" s="24" t="s">
        <v>16</v>
      </c>
      <c r="AB3" s="21"/>
      <c r="AC3" s="20"/>
    </row>
    <row r="4" spans="1:29" ht="22.5" customHeight="1" x14ac:dyDescent="0.25">
      <c r="A4" s="17">
        <v>2015</v>
      </c>
      <c r="B4" s="18">
        <v>1.0269999999999999</v>
      </c>
      <c r="C4" s="22">
        <f>ROUND(C3*$B4,2)</f>
        <v>749.17</v>
      </c>
      <c r="D4" s="22">
        <f>ROUND(D3*$B4,2)</f>
        <v>405.98</v>
      </c>
      <c r="E4" s="22">
        <f>ROUND(E3*$B4,2)</f>
        <v>1407.77</v>
      </c>
      <c r="F4" s="22">
        <f t="shared" ref="F4:F21" si="0">C4</f>
        <v>749.17</v>
      </c>
      <c r="G4" s="19">
        <v>5425</v>
      </c>
      <c r="H4" s="51">
        <v>7.6499999999999999E-2</v>
      </c>
      <c r="I4" s="51">
        <v>0.17</v>
      </c>
      <c r="J4" s="51">
        <v>1.9E-2</v>
      </c>
      <c r="K4" s="51">
        <v>4.0000000000000001E-3</v>
      </c>
      <c r="L4" s="51">
        <v>1.5299999999999999E-2</v>
      </c>
      <c r="M4" s="19">
        <v>3700</v>
      </c>
      <c r="N4" s="23">
        <f t="shared" ref="N4:V4" si="1">ROUND(N3*$B4,5)</f>
        <v>18.28472</v>
      </c>
      <c r="O4" s="23">
        <f t="shared" si="1"/>
        <v>20.316369999999999</v>
      </c>
      <c r="P4" s="23">
        <f t="shared" si="1"/>
        <v>16.507020000000001</v>
      </c>
      <c r="Q4" s="23">
        <f t="shared" si="1"/>
        <v>11.427989999999999</v>
      </c>
      <c r="R4" s="23">
        <f t="shared" si="1"/>
        <v>9.2693600000000007</v>
      </c>
      <c r="S4" s="23">
        <f t="shared" si="1"/>
        <v>6.8567900000000002</v>
      </c>
      <c r="T4" s="23">
        <f t="shared" si="1"/>
        <v>5.0791000000000004</v>
      </c>
      <c r="U4" s="23">
        <f t="shared" si="1"/>
        <v>3.8093400000000002</v>
      </c>
      <c r="V4" s="23">
        <f t="shared" si="1"/>
        <v>2.92048</v>
      </c>
      <c r="W4" s="19">
        <v>4000</v>
      </c>
      <c r="X4" s="19">
        <v>2200</v>
      </c>
      <c r="Y4" s="19">
        <v>83600</v>
      </c>
      <c r="Z4" s="19">
        <v>269300</v>
      </c>
      <c r="AA4" s="24" t="s">
        <v>17</v>
      </c>
      <c r="AB4" s="21"/>
      <c r="AC4" s="20"/>
    </row>
    <row r="5" spans="1:29" ht="22.5" customHeight="1" x14ac:dyDescent="0.25">
      <c r="A5" s="17">
        <v>2016</v>
      </c>
      <c r="B5" s="18">
        <v>1.024</v>
      </c>
      <c r="C5" s="22">
        <f>ROUND(C4*B5,2)</f>
        <v>767.15</v>
      </c>
      <c r="D5" s="22">
        <f t="shared" ref="D5:D21" si="2">ROUND(D4*$B5,2)</f>
        <v>415.72</v>
      </c>
      <c r="E5" s="22">
        <f t="shared" ref="E5:E21" si="3">ROUND(E4*$B5,2)</f>
        <v>1441.56</v>
      </c>
      <c r="F5" s="22">
        <f t="shared" si="0"/>
        <v>767.15</v>
      </c>
      <c r="G5" s="19">
        <v>5670</v>
      </c>
      <c r="H5" s="51">
        <v>7.6499999999999999E-2</v>
      </c>
      <c r="I5" s="51">
        <v>0.17</v>
      </c>
      <c r="J5" s="51">
        <v>1.9E-2</v>
      </c>
      <c r="K5" s="51">
        <v>4.0000000000000001E-3</v>
      </c>
      <c r="L5" s="51">
        <v>1.5299999999999999E-2</v>
      </c>
      <c r="M5" s="19">
        <v>3700</v>
      </c>
      <c r="N5" s="23">
        <f t="shared" ref="N5:N21" si="4">ROUND(N4*$B5,5)</f>
        <v>18.723549999999999</v>
      </c>
      <c r="O5" s="23">
        <f t="shared" ref="O5:O21" si="5">ROUND(O4*$B5,5)</f>
        <v>20.80396</v>
      </c>
      <c r="P5" s="23">
        <f t="shared" ref="P5:P21" si="6">ROUND(P4*$B5,5)</f>
        <v>16.903189999999999</v>
      </c>
      <c r="Q5" s="23">
        <f t="shared" ref="Q5:Q21" si="7">ROUND(Q4*$B5,5)</f>
        <v>11.702260000000001</v>
      </c>
      <c r="R5" s="23">
        <f t="shared" ref="R5:R21" si="8">ROUND(R4*$B5,5)</f>
        <v>9.4918200000000006</v>
      </c>
      <c r="S5" s="23">
        <f t="shared" ref="S5:S21" si="9">ROUND(S4*$B5,5)</f>
        <v>7.02135</v>
      </c>
      <c r="T5" s="23">
        <f t="shared" ref="T5:T21" si="10">ROUND(T4*$B5,5)</f>
        <v>5.2009999999999996</v>
      </c>
      <c r="U5" s="23">
        <f t="shared" ref="U5:U21" si="11">ROUND(U4*$B5,5)</f>
        <v>3.90076</v>
      </c>
      <c r="V5" s="23">
        <f t="shared" ref="V5:V21" si="12">ROUND(V4*$B5,5)</f>
        <v>2.99057</v>
      </c>
      <c r="W5" s="19">
        <v>4000</v>
      </c>
      <c r="X5" s="19">
        <v>2200</v>
      </c>
      <c r="Y5" s="19">
        <v>87400</v>
      </c>
      <c r="Z5" s="19">
        <v>277000</v>
      </c>
      <c r="AA5" s="24"/>
      <c r="AB5" s="25"/>
      <c r="AC5" s="25"/>
    </row>
    <row r="6" spans="1:29" ht="22.5" customHeight="1" x14ac:dyDescent="0.25">
      <c r="A6" s="17">
        <v>2017</v>
      </c>
      <c r="B6" s="18">
        <v>1.024</v>
      </c>
      <c r="C6" s="22">
        <f>ROUND(C5*B6,2)</f>
        <v>785.56</v>
      </c>
      <c r="D6" s="22">
        <f t="shared" si="2"/>
        <v>425.7</v>
      </c>
      <c r="E6" s="22">
        <f t="shared" si="3"/>
        <v>1476.16</v>
      </c>
      <c r="F6" s="22">
        <f t="shared" si="0"/>
        <v>785.56</v>
      </c>
      <c r="G6" s="19">
        <v>5810</v>
      </c>
      <c r="H6" s="51">
        <v>7.6499999999999999E-2</v>
      </c>
      <c r="I6" s="51">
        <v>0.17</v>
      </c>
      <c r="J6" s="51">
        <v>1.9E-2</v>
      </c>
      <c r="K6" s="51">
        <v>4.0000000000000001E-3</v>
      </c>
      <c r="L6" s="51">
        <v>1.5299999999999999E-2</v>
      </c>
      <c r="M6" s="19">
        <v>3700</v>
      </c>
      <c r="N6" s="23">
        <f t="shared" si="4"/>
        <v>19.172920000000001</v>
      </c>
      <c r="O6" s="23">
        <f t="shared" si="5"/>
        <v>21.303260000000002</v>
      </c>
      <c r="P6" s="23">
        <f t="shared" si="6"/>
        <v>17.308869999999999</v>
      </c>
      <c r="Q6" s="23">
        <f t="shared" si="7"/>
        <v>11.98311</v>
      </c>
      <c r="R6" s="23">
        <f t="shared" si="8"/>
        <v>9.7196200000000008</v>
      </c>
      <c r="S6" s="23">
        <f t="shared" si="9"/>
        <v>7.1898600000000004</v>
      </c>
      <c r="T6" s="23">
        <f t="shared" si="10"/>
        <v>5.3258200000000002</v>
      </c>
      <c r="U6" s="23">
        <f t="shared" si="11"/>
        <v>3.99438</v>
      </c>
      <c r="V6" s="23">
        <f t="shared" si="12"/>
        <v>3.0623399999999998</v>
      </c>
      <c r="W6" s="19">
        <v>4000</v>
      </c>
      <c r="X6" s="19">
        <v>2200</v>
      </c>
      <c r="Y6" s="19">
        <v>87500</v>
      </c>
      <c r="Z6" s="19">
        <v>277200</v>
      </c>
      <c r="AA6" s="24"/>
      <c r="AB6" s="25"/>
      <c r="AC6" s="25"/>
    </row>
    <row r="7" spans="1:29" ht="22.5" customHeight="1" x14ac:dyDescent="0.25">
      <c r="A7" s="17">
        <v>2018</v>
      </c>
      <c r="B7" s="18">
        <v>1.0289999999999999</v>
      </c>
      <c r="C7" s="22">
        <f>ROUND(C6*B7,2)</f>
        <v>808.34</v>
      </c>
      <c r="D7" s="22">
        <f t="shared" si="2"/>
        <v>438.05</v>
      </c>
      <c r="E7" s="22">
        <f t="shared" si="3"/>
        <v>1518.97</v>
      </c>
      <c r="F7" s="22">
        <f t="shared" si="0"/>
        <v>808.34</v>
      </c>
      <c r="G7" s="19">
        <v>5985</v>
      </c>
      <c r="H7" s="51">
        <v>7.6499999999999999E-2</v>
      </c>
      <c r="I7" s="51">
        <v>0.17</v>
      </c>
      <c r="J7" s="51">
        <v>1.9E-2</v>
      </c>
      <c r="K7" s="51">
        <v>4.0000000000000001E-3</v>
      </c>
      <c r="L7" s="51">
        <v>1.5299999999999999E-2</v>
      </c>
      <c r="M7" s="19">
        <v>3700</v>
      </c>
      <c r="N7" s="23">
        <f t="shared" si="4"/>
        <v>19.728929999999998</v>
      </c>
      <c r="O7" s="23">
        <f t="shared" si="5"/>
        <v>21.921050000000001</v>
      </c>
      <c r="P7" s="23">
        <f t="shared" si="6"/>
        <v>17.810829999999999</v>
      </c>
      <c r="Q7" s="23">
        <f t="shared" si="7"/>
        <v>12.33062</v>
      </c>
      <c r="R7" s="23">
        <f t="shared" si="8"/>
        <v>10.00149</v>
      </c>
      <c r="S7" s="23">
        <f t="shared" si="9"/>
        <v>7.3983699999999999</v>
      </c>
      <c r="T7" s="23">
        <f t="shared" si="10"/>
        <v>5.48027</v>
      </c>
      <c r="U7" s="23">
        <f t="shared" si="11"/>
        <v>4.11022</v>
      </c>
      <c r="V7" s="23">
        <f t="shared" si="12"/>
        <v>3.1511499999999999</v>
      </c>
      <c r="W7" s="19">
        <v>4000</v>
      </c>
      <c r="X7" s="19">
        <v>2200</v>
      </c>
      <c r="Y7" s="19">
        <v>87700</v>
      </c>
      <c r="Z7" s="19">
        <v>277700</v>
      </c>
      <c r="AA7" s="24"/>
      <c r="AB7" s="25"/>
      <c r="AC7" s="25"/>
    </row>
    <row r="8" spans="1:29" ht="22.5" customHeight="1" x14ac:dyDescent="0.25">
      <c r="A8" s="17">
        <v>2019</v>
      </c>
      <c r="B8" s="18">
        <v>1.02</v>
      </c>
      <c r="C8" s="22">
        <f>ROUND(C7*B8,2)</f>
        <v>824.51</v>
      </c>
      <c r="D8" s="22">
        <f t="shared" si="2"/>
        <v>446.81</v>
      </c>
      <c r="E8" s="22">
        <f t="shared" si="3"/>
        <v>1549.35</v>
      </c>
      <c r="F8" s="22">
        <f t="shared" si="0"/>
        <v>824.51</v>
      </c>
      <c r="G8" s="19">
        <v>6090</v>
      </c>
      <c r="H8" s="51">
        <v>7.6499999999999999E-2</v>
      </c>
      <c r="I8" s="51">
        <v>0.17</v>
      </c>
      <c r="J8" s="51">
        <v>1.9E-2</v>
      </c>
      <c r="K8" s="51">
        <v>4.0000000000000001E-3</v>
      </c>
      <c r="L8" s="51">
        <v>1.5299999999999999E-2</v>
      </c>
      <c r="M8" s="19">
        <v>3700</v>
      </c>
      <c r="N8" s="23">
        <f t="shared" si="4"/>
        <v>20.12351</v>
      </c>
      <c r="O8" s="23">
        <f t="shared" si="5"/>
        <v>22.359470000000002</v>
      </c>
      <c r="P8" s="23">
        <f t="shared" si="6"/>
        <v>18.16705</v>
      </c>
      <c r="Q8" s="23">
        <f t="shared" si="7"/>
        <v>12.57723</v>
      </c>
      <c r="R8" s="23">
        <f t="shared" si="8"/>
        <v>10.20152</v>
      </c>
      <c r="S8" s="23">
        <f t="shared" si="9"/>
        <v>7.5463399999999998</v>
      </c>
      <c r="T8" s="23">
        <f t="shared" si="10"/>
        <v>5.58988</v>
      </c>
      <c r="U8" s="23">
        <f t="shared" si="11"/>
        <v>4.1924200000000003</v>
      </c>
      <c r="V8" s="23">
        <f t="shared" si="12"/>
        <v>3.2141700000000002</v>
      </c>
      <c r="W8" s="19">
        <v>4000</v>
      </c>
      <c r="X8" s="19">
        <v>2200</v>
      </c>
      <c r="Y8" s="19">
        <v>87300</v>
      </c>
      <c r="Z8" s="19">
        <v>276700</v>
      </c>
      <c r="AA8" s="26"/>
      <c r="AB8" s="25"/>
      <c r="AC8" s="25"/>
    </row>
    <row r="9" spans="1:29" ht="22.5" customHeight="1" x14ac:dyDescent="0.25">
      <c r="A9" s="17">
        <v>2020</v>
      </c>
      <c r="B9" s="18">
        <v>1.0309999999999999</v>
      </c>
      <c r="C9" s="22">
        <f t="shared" ref="C9:C21" si="13">ROUND(C8*B9,2)</f>
        <v>850.07</v>
      </c>
      <c r="D9" s="22">
        <f t="shared" si="2"/>
        <v>460.66</v>
      </c>
      <c r="E9" s="22">
        <f t="shared" si="3"/>
        <v>1597.38</v>
      </c>
      <c r="F9" s="22">
        <f t="shared" si="0"/>
        <v>850.07</v>
      </c>
      <c r="G9" s="19">
        <v>6265</v>
      </c>
      <c r="H9" s="51">
        <v>6.8000000000000005E-2</v>
      </c>
      <c r="I9" s="51">
        <v>0.17</v>
      </c>
      <c r="J9" s="51">
        <v>1.9E-2</v>
      </c>
      <c r="K9" s="51">
        <v>4.0000000000000001E-3</v>
      </c>
      <c r="L9" s="51">
        <v>1.5299999999999999E-2</v>
      </c>
      <c r="M9" s="19">
        <v>3700</v>
      </c>
      <c r="N9" s="23">
        <f t="shared" si="4"/>
        <v>20.747340000000001</v>
      </c>
      <c r="O9" s="23">
        <f t="shared" si="5"/>
        <v>23.052610000000001</v>
      </c>
      <c r="P9" s="23">
        <f t="shared" si="6"/>
        <v>18.730229999999999</v>
      </c>
      <c r="Q9" s="23">
        <f t="shared" si="7"/>
        <v>12.96712</v>
      </c>
      <c r="R9" s="23">
        <f t="shared" si="8"/>
        <v>10.517770000000001</v>
      </c>
      <c r="S9" s="23">
        <f t="shared" si="9"/>
        <v>7.7802800000000003</v>
      </c>
      <c r="T9" s="23">
        <f t="shared" si="10"/>
        <v>5.7631699999999997</v>
      </c>
      <c r="U9" s="23">
        <f t="shared" si="11"/>
        <v>4.3223900000000004</v>
      </c>
      <c r="V9" s="23">
        <f t="shared" si="12"/>
        <v>3.3138100000000001</v>
      </c>
      <c r="W9" s="19">
        <v>4000</v>
      </c>
      <c r="X9" s="19">
        <v>2200</v>
      </c>
      <c r="Y9" s="19">
        <v>86900</v>
      </c>
      <c r="Z9" s="19">
        <v>275900</v>
      </c>
      <c r="AA9" s="26" t="s">
        <v>228</v>
      </c>
      <c r="AB9" s="25"/>
      <c r="AC9" s="25"/>
    </row>
    <row r="10" spans="1:29" ht="22.5" customHeight="1" x14ac:dyDescent="0.25">
      <c r="A10" s="17">
        <v>2021</v>
      </c>
      <c r="B10" s="18">
        <v>1.0329999999999999</v>
      </c>
      <c r="C10" s="22">
        <f t="shared" si="13"/>
        <v>878.12</v>
      </c>
      <c r="D10" s="22">
        <f t="shared" si="2"/>
        <v>475.86</v>
      </c>
      <c r="E10" s="22">
        <f t="shared" si="3"/>
        <v>1650.09</v>
      </c>
      <c r="F10" s="22">
        <f t="shared" si="0"/>
        <v>878.12</v>
      </c>
      <c r="G10" s="19">
        <v>6475</v>
      </c>
      <c r="H10" s="51">
        <v>6.8000000000000005E-2</v>
      </c>
      <c r="I10" s="51">
        <v>0.17</v>
      </c>
      <c r="J10" s="51">
        <v>1.9E-2</v>
      </c>
      <c r="K10" s="51">
        <v>4.0000000000000001E-3</v>
      </c>
      <c r="L10" s="51">
        <v>1.5299999999999999E-2</v>
      </c>
      <c r="M10" s="19">
        <v>3700</v>
      </c>
      <c r="N10" s="23">
        <f t="shared" si="4"/>
        <v>21.431999999999999</v>
      </c>
      <c r="O10" s="23">
        <f t="shared" si="5"/>
        <v>23.81335</v>
      </c>
      <c r="P10" s="23">
        <f t="shared" si="6"/>
        <v>19.348330000000001</v>
      </c>
      <c r="Q10" s="23">
        <f t="shared" si="7"/>
        <v>13.39503</v>
      </c>
      <c r="R10" s="23">
        <f t="shared" si="8"/>
        <v>10.86486</v>
      </c>
      <c r="S10" s="23">
        <f t="shared" si="9"/>
        <v>8.0370299999999997</v>
      </c>
      <c r="T10" s="23">
        <f t="shared" si="10"/>
        <v>5.9533500000000004</v>
      </c>
      <c r="U10" s="23">
        <f t="shared" si="11"/>
        <v>4.4650299999999996</v>
      </c>
      <c r="V10" s="23">
        <f t="shared" si="12"/>
        <v>3.4231699999999998</v>
      </c>
      <c r="W10" s="19">
        <v>4000</v>
      </c>
      <c r="X10" s="19">
        <v>2200</v>
      </c>
      <c r="Y10" s="19">
        <v>86900</v>
      </c>
      <c r="Z10" s="19">
        <v>276100</v>
      </c>
      <c r="AA10" s="26"/>
      <c r="AB10" s="25"/>
      <c r="AC10" s="25"/>
    </row>
    <row r="11" spans="1:29" ht="22.5" customHeight="1" x14ac:dyDescent="0.25">
      <c r="A11" s="17">
        <v>2022</v>
      </c>
      <c r="B11" s="18">
        <v>1.0209999999999999</v>
      </c>
      <c r="C11" s="22">
        <f t="shared" si="13"/>
        <v>896.56</v>
      </c>
      <c r="D11" s="22">
        <f t="shared" si="2"/>
        <v>485.85</v>
      </c>
      <c r="E11" s="22">
        <f t="shared" si="3"/>
        <v>1684.74</v>
      </c>
      <c r="F11" s="22">
        <f t="shared" si="0"/>
        <v>896.56</v>
      </c>
      <c r="G11" s="19">
        <v>6615</v>
      </c>
      <c r="H11" s="51">
        <v>6.8000000000000005E-2</v>
      </c>
      <c r="I11" s="51">
        <v>0.17</v>
      </c>
      <c r="J11" s="51">
        <v>1.9E-2</v>
      </c>
      <c r="K11" s="51">
        <v>4.0000000000000001E-3</v>
      </c>
      <c r="L11" s="51">
        <v>1.5299999999999999E-2</v>
      </c>
      <c r="M11" s="19">
        <v>3700</v>
      </c>
      <c r="N11" s="23">
        <f t="shared" si="4"/>
        <v>21.882069999999999</v>
      </c>
      <c r="O11" s="23">
        <f t="shared" si="5"/>
        <v>24.31343</v>
      </c>
      <c r="P11" s="23">
        <f t="shared" si="6"/>
        <v>19.754639999999998</v>
      </c>
      <c r="Q11" s="23">
        <f t="shared" si="7"/>
        <v>13.67633</v>
      </c>
      <c r="R11" s="23">
        <f t="shared" si="8"/>
        <v>11.093019999999999</v>
      </c>
      <c r="S11" s="23">
        <f t="shared" si="9"/>
        <v>8.2058099999999996</v>
      </c>
      <c r="T11" s="23">
        <f t="shared" si="10"/>
        <v>6.0783699999999996</v>
      </c>
      <c r="U11" s="23">
        <f t="shared" si="11"/>
        <v>4.5587999999999997</v>
      </c>
      <c r="V11" s="23">
        <f t="shared" si="12"/>
        <v>3.4950600000000001</v>
      </c>
      <c r="W11" s="19">
        <v>4000</v>
      </c>
      <c r="X11" s="19">
        <v>2200</v>
      </c>
      <c r="Y11" s="19">
        <v>87100</v>
      </c>
      <c r="Z11" s="19">
        <v>276300</v>
      </c>
      <c r="AA11" s="26"/>
      <c r="AB11" s="25"/>
      <c r="AC11" s="25"/>
    </row>
    <row r="12" spans="1:29" ht="22.5" customHeight="1" x14ac:dyDescent="0.25">
      <c r="A12" s="17">
        <v>2023</v>
      </c>
      <c r="B12" s="18">
        <v>1.0309999999999999</v>
      </c>
      <c r="C12" s="22">
        <f t="shared" si="13"/>
        <v>924.35</v>
      </c>
      <c r="D12" s="22">
        <f t="shared" si="2"/>
        <v>500.91</v>
      </c>
      <c r="E12" s="22">
        <f t="shared" si="3"/>
        <v>1736.97</v>
      </c>
      <c r="F12" s="22">
        <f t="shared" si="0"/>
        <v>924.35</v>
      </c>
      <c r="G12" s="19">
        <v>6825</v>
      </c>
      <c r="H12" s="51">
        <v>6.8000000000000005E-2</v>
      </c>
      <c r="I12" s="51">
        <v>0.17</v>
      </c>
      <c r="J12" s="51">
        <v>1.9E-2</v>
      </c>
      <c r="K12" s="51">
        <v>4.0000000000000001E-3</v>
      </c>
      <c r="L12" s="51">
        <v>1.5299999999999999E-2</v>
      </c>
      <c r="M12" s="19">
        <v>3700</v>
      </c>
      <c r="N12" s="23">
        <f t="shared" si="4"/>
        <v>22.560410000000001</v>
      </c>
      <c r="O12" s="23">
        <f t="shared" si="5"/>
        <v>25.067150000000002</v>
      </c>
      <c r="P12" s="23">
        <f t="shared" si="6"/>
        <v>20.36703</v>
      </c>
      <c r="Q12" s="23">
        <f t="shared" si="7"/>
        <v>14.100300000000001</v>
      </c>
      <c r="R12" s="23">
        <f t="shared" si="8"/>
        <v>11.4369</v>
      </c>
      <c r="S12" s="23">
        <f t="shared" si="9"/>
        <v>8.4601900000000008</v>
      </c>
      <c r="T12" s="23">
        <f t="shared" si="10"/>
        <v>6.2667999999999999</v>
      </c>
      <c r="U12" s="23">
        <f t="shared" si="11"/>
        <v>4.7001200000000001</v>
      </c>
      <c r="V12" s="23">
        <f t="shared" si="12"/>
        <v>3.6034099999999998</v>
      </c>
      <c r="W12" s="19">
        <v>4000</v>
      </c>
      <c r="X12" s="19">
        <v>2200</v>
      </c>
      <c r="Y12" s="19">
        <v>87200</v>
      </c>
      <c r="Z12" s="19">
        <v>276600</v>
      </c>
      <c r="AA12" s="26"/>
      <c r="AB12" s="25"/>
      <c r="AC12" s="25"/>
    </row>
    <row r="13" spans="1:29" ht="22.5" customHeight="1" x14ac:dyDescent="0.25">
      <c r="A13" s="17">
        <v>2024</v>
      </c>
      <c r="B13" s="18">
        <v>1.0349999999999999</v>
      </c>
      <c r="C13" s="22">
        <f t="shared" si="13"/>
        <v>956.7</v>
      </c>
      <c r="D13" s="22">
        <f t="shared" si="2"/>
        <v>518.44000000000005</v>
      </c>
      <c r="E13" s="22">
        <f t="shared" si="3"/>
        <v>1797.76</v>
      </c>
      <c r="F13" s="22">
        <f t="shared" si="0"/>
        <v>956.7</v>
      </c>
      <c r="G13" s="19">
        <v>7070</v>
      </c>
      <c r="H13" s="51">
        <v>6.8000000000000005E-2</v>
      </c>
      <c r="I13" s="51">
        <v>0.17</v>
      </c>
      <c r="J13" s="51">
        <v>1.9E-2</v>
      </c>
      <c r="K13" s="51">
        <v>4.0000000000000001E-3</v>
      </c>
      <c r="L13" s="51">
        <v>1.5299999999999999E-2</v>
      </c>
      <c r="M13" s="19">
        <v>3700</v>
      </c>
      <c r="N13" s="23">
        <f t="shared" si="4"/>
        <v>23.350020000000001</v>
      </c>
      <c r="O13" s="23">
        <f t="shared" si="5"/>
        <v>25.944500000000001</v>
      </c>
      <c r="P13" s="23">
        <f t="shared" si="6"/>
        <v>21.079879999999999</v>
      </c>
      <c r="Q13" s="23">
        <f t="shared" si="7"/>
        <v>14.59381</v>
      </c>
      <c r="R13" s="23">
        <f t="shared" si="8"/>
        <v>11.83719</v>
      </c>
      <c r="S13" s="23">
        <f t="shared" si="9"/>
        <v>8.7562999999999995</v>
      </c>
      <c r="T13" s="23">
        <f t="shared" si="10"/>
        <v>6.4861399999999998</v>
      </c>
      <c r="U13" s="23">
        <f t="shared" si="11"/>
        <v>4.8646200000000004</v>
      </c>
      <c r="V13" s="23">
        <f t="shared" si="12"/>
        <v>3.72953</v>
      </c>
      <c r="W13" s="19">
        <v>4000</v>
      </c>
      <c r="X13" s="19">
        <v>2200</v>
      </c>
      <c r="Y13" s="19">
        <v>87400</v>
      </c>
      <c r="Z13" s="19">
        <v>276900</v>
      </c>
      <c r="AA13" s="26"/>
      <c r="AB13" s="25"/>
      <c r="AC13" s="25"/>
    </row>
    <row r="14" spans="1:29" ht="22.5" customHeight="1" x14ac:dyDescent="0.25">
      <c r="A14" s="17">
        <v>2025</v>
      </c>
      <c r="B14" s="18">
        <v>1</v>
      </c>
      <c r="C14" s="22">
        <f t="shared" si="13"/>
        <v>956.7</v>
      </c>
      <c r="D14" s="22">
        <f t="shared" si="2"/>
        <v>518.44000000000005</v>
      </c>
      <c r="E14" s="22">
        <f t="shared" si="3"/>
        <v>1797.76</v>
      </c>
      <c r="F14" s="22">
        <f t="shared" si="0"/>
        <v>956.7</v>
      </c>
      <c r="G14" s="19">
        <v>7070</v>
      </c>
      <c r="H14" s="51">
        <v>6.8000000000000005E-2</v>
      </c>
      <c r="I14" s="51">
        <v>0.17</v>
      </c>
      <c r="J14" s="51">
        <v>1.9E-2</v>
      </c>
      <c r="K14" s="51">
        <v>4.0000000000000001E-3</v>
      </c>
      <c r="L14" s="51">
        <v>1.5299999999999999E-2</v>
      </c>
      <c r="M14" s="19">
        <v>3700</v>
      </c>
      <c r="N14" s="23">
        <f t="shared" si="4"/>
        <v>23.350020000000001</v>
      </c>
      <c r="O14" s="23">
        <f t="shared" si="5"/>
        <v>25.944500000000001</v>
      </c>
      <c r="P14" s="23">
        <f t="shared" si="6"/>
        <v>21.079879999999999</v>
      </c>
      <c r="Q14" s="23">
        <f t="shared" si="7"/>
        <v>14.59381</v>
      </c>
      <c r="R14" s="23">
        <f t="shared" si="8"/>
        <v>11.83719</v>
      </c>
      <c r="S14" s="23">
        <f t="shared" si="9"/>
        <v>8.7562999999999995</v>
      </c>
      <c r="T14" s="23">
        <f t="shared" si="10"/>
        <v>6.4861399999999998</v>
      </c>
      <c r="U14" s="23">
        <f t="shared" si="11"/>
        <v>4.8646200000000004</v>
      </c>
      <c r="V14" s="23">
        <f t="shared" si="12"/>
        <v>3.72953</v>
      </c>
      <c r="W14" s="19">
        <v>4000</v>
      </c>
      <c r="X14" s="19">
        <v>2200</v>
      </c>
      <c r="Y14" s="19">
        <v>87400</v>
      </c>
      <c r="Z14" s="19">
        <v>276900</v>
      </c>
      <c r="AA14" s="26"/>
      <c r="AB14" s="25"/>
      <c r="AC14" s="25"/>
    </row>
    <row r="15" spans="1:29" ht="22.5" customHeight="1" x14ac:dyDescent="0.25">
      <c r="A15" s="17">
        <v>2026</v>
      </c>
      <c r="B15" s="18">
        <v>1</v>
      </c>
      <c r="C15" s="22">
        <f t="shared" si="13"/>
        <v>956.7</v>
      </c>
      <c r="D15" s="22">
        <f t="shared" si="2"/>
        <v>518.44000000000005</v>
      </c>
      <c r="E15" s="22">
        <f t="shared" si="3"/>
        <v>1797.76</v>
      </c>
      <c r="F15" s="22">
        <f t="shared" si="0"/>
        <v>956.7</v>
      </c>
      <c r="G15" s="19">
        <v>7070</v>
      </c>
      <c r="H15" s="51">
        <v>6.8000000000000005E-2</v>
      </c>
      <c r="I15" s="51">
        <v>0.17</v>
      </c>
      <c r="J15" s="51">
        <v>1.9E-2</v>
      </c>
      <c r="K15" s="51">
        <v>4.0000000000000001E-3</v>
      </c>
      <c r="L15" s="51">
        <v>1.5299999999999999E-2</v>
      </c>
      <c r="M15" s="19">
        <v>3700</v>
      </c>
      <c r="N15" s="23">
        <f t="shared" si="4"/>
        <v>23.350020000000001</v>
      </c>
      <c r="O15" s="23">
        <f t="shared" si="5"/>
        <v>25.944500000000001</v>
      </c>
      <c r="P15" s="23">
        <f t="shared" si="6"/>
        <v>21.079879999999999</v>
      </c>
      <c r="Q15" s="23">
        <f t="shared" si="7"/>
        <v>14.59381</v>
      </c>
      <c r="R15" s="23">
        <f t="shared" si="8"/>
        <v>11.83719</v>
      </c>
      <c r="S15" s="23">
        <f t="shared" si="9"/>
        <v>8.7562999999999995</v>
      </c>
      <c r="T15" s="23">
        <f t="shared" si="10"/>
        <v>6.4861399999999998</v>
      </c>
      <c r="U15" s="23">
        <f t="shared" si="11"/>
        <v>4.8646200000000004</v>
      </c>
      <c r="V15" s="23">
        <f t="shared" si="12"/>
        <v>3.72953</v>
      </c>
      <c r="W15" s="19">
        <v>4000</v>
      </c>
      <c r="X15" s="19">
        <v>2200</v>
      </c>
      <c r="Y15" s="19">
        <v>87400</v>
      </c>
      <c r="Z15" s="19">
        <v>276900</v>
      </c>
      <c r="AA15" s="26"/>
      <c r="AB15" s="25"/>
      <c r="AC15" s="25"/>
    </row>
    <row r="16" spans="1:29" ht="22.5" customHeight="1" x14ac:dyDescent="0.25">
      <c r="A16" s="17">
        <v>2027</v>
      </c>
      <c r="B16" s="18">
        <v>1</v>
      </c>
      <c r="C16" s="22">
        <f t="shared" si="13"/>
        <v>956.7</v>
      </c>
      <c r="D16" s="22">
        <f t="shared" si="2"/>
        <v>518.44000000000005</v>
      </c>
      <c r="E16" s="22">
        <f t="shared" si="3"/>
        <v>1797.76</v>
      </c>
      <c r="F16" s="22">
        <f t="shared" si="0"/>
        <v>956.7</v>
      </c>
      <c r="G16" s="19">
        <v>7070</v>
      </c>
      <c r="H16" s="51">
        <v>6.8000000000000005E-2</v>
      </c>
      <c r="I16" s="51">
        <v>0.17</v>
      </c>
      <c r="J16" s="51">
        <v>1.9E-2</v>
      </c>
      <c r="K16" s="51">
        <v>4.0000000000000001E-3</v>
      </c>
      <c r="L16" s="51">
        <v>1.5299999999999999E-2</v>
      </c>
      <c r="M16" s="19">
        <v>3700</v>
      </c>
      <c r="N16" s="23">
        <f t="shared" si="4"/>
        <v>23.350020000000001</v>
      </c>
      <c r="O16" s="23">
        <f t="shared" si="5"/>
        <v>25.944500000000001</v>
      </c>
      <c r="P16" s="23">
        <f t="shared" si="6"/>
        <v>21.079879999999999</v>
      </c>
      <c r="Q16" s="23">
        <f t="shared" si="7"/>
        <v>14.59381</v>
      </c>
      <c r="R16" s="23">
        <f t="shared" si="8"/>
        <v>11.83719</v>
      </c>
      <c r="S16" s="23">
        <f t="shared" si="9"/>
        <v>8.7562999999999995</v>
      </c>
      <c r="T16" s="23">
        <f t="shared" si="10"/>
        <v>6.4861399999999998</v>
      </c>
      <c r="U16" s="23">
        <f t="shared" si="11"/>
        <v>4.8646200000000004</v>
      </c>
      <c r="V16" s="23">
        <f t="shared" si="12"/>
        <v>3.72953</v>
      </c>
      <c r="W16" s="19">
        <v>4000</v>
      </c>
      <c r="X16" s="19">
        <v>2200</v>
      </c>
      <c r="Y16" s="19">
        <v>87400</v>
      </c>
      <c r="Z16" s="19">
        <v>276900</v>
      </c>
      <c r="AA16" s="26"/>
      <c r="AB16" s="25"/>
      <c r="AC16" s="25"/>
    </row>
    <row r="17" spans="1:29" ht="22.5" customHeight="1" x14ac:dyDescent="0.25">
      <c r="A17" s="17">
        <v>2028</v>
      </c>
      <c r="B17" s="18">
        <v>1</v>
      </c>
      <c r="C17" s="22">
        <f t="shared" si="13"/>
        <v>956.7</v>
      </c>
      <c r="D17" s="22">
        <f t="shared" si="2"/>
        <v>518.44000000000005</v>
      </c>
      <c r="E17" s="22">
        <f t="shared" si="3"/>
        <v>1797.76</v>
      </c>
      <c r="F17" s="22">
        <f t="shared" si="0"/>
        <v>956.7</v>
      </c>
      <c r="G17" s="19">
        <v>7070</v>
      </c>
      <c r="H17" s="51">
        <v>6.8000000000000005E-2</v>
      </c>
      <c r="I17" s="51">
        <v>0.17</v>
      </c>
      <c r="J17" s="51">
        <v>1.9E-2</v>
      </c>
      <c r="K17" s="51">
        <v>4.0000000000000001E-3</v>
      </c>
      <c r="L17" s="51">
        <v>1.5299999999999999E-2</v>
      </c>
      <c r="M17" s="19">
        <v>3700</v>
      </c>
      <c r="N17" s="23">
        <f t="shared" si="4"/>
        <v>23.350020000000001</v>
      </c>
      <c r="O17" s="23">
        <f t="shared" si="5"/>
        <v>25.944500000000001</v>
      </c>
      <c r="P17" s="23">
        <f t="shared" si="6"/>
        <v>21.079879999999999</v>
      </c>
      <c r="Q17" s="23">
        <f t="shared" si="7"/>
        <v>14.59381</v>
      </c>
      <c r="R17" s="23">
        <f t="shared" si="8"/>
        <v>11.83719</v>
      </c>
      <c r="S17" s="23">
        <f t="shared" si="9"/>
        <v>8.7562999999999995</v>
      </c>
      <c r="T17" s="23">
        <f t="shared" si="10"/>
        <v>6.4861399999999998</v>
      </c>
      <c r="U17" s="23">
        <f t="shared" si="11"/>
        <v>4.8646200000000004</v>
      </c>
      <c r="V17" s="23">
        <f t="shared" si="12"/>
        <v>3.72953</v>
      </c>
      <c r="W17" s="19">
        <v>4000</v>
      </c>
      <c r="X17" s="19">
        <v>2200</v>
      </c>
      <c r="Y17" s="19">
        <v>87400</v>
      </c>
      <c r="Z17" s="19">
        <v>276900</v>
      </c>
      <c r="AA17" s="26"/>
      <c r="AB17" s="25"/>
      <c r="AC17" s="25"/>
    </row>
    <row r="18" spans="1:29" ht="22.5" customHeight="1" x14ac:dyDescent="0.25">
      <c r="A18" s="17">
        <v>2029</v>
      </c>
      <c r="B18" s="18">
        <v>1</v>
      </c>
      <c r="C18" s="22">
        <f t="shared" si="13"/>
        <v>956.7</v>
      </c>
      <c r="D18" s="22">
        <f t="shared" si="2"/>
        <v>518.44000000000005</v>
      </c>
      <c r="E18" s="22">
        <f t="shared" si="3"/>
        <v>1797.76</v>
      </c>
      <c r="F18" s="22">
        <f t="shared" si="0"/>
        <v>956.7</v>
      </c>
      <c r="G18" s="19">
        <v>7070</v>
      </c>
      <c r="H18" s="51">
        <v>6.8000000000000005E-2</v>
      </c>
      <c r="I18" s="51">
        <v>0.17</v>
      </c>
      <c r="J18" s="51">
        <v>1.9E-2</v>
      </c>
      <c r="K18" s="51">
        <v>4.0000000000000001E-3</v>
      </c>
      <c r="L18" s="51">
        <v>1.5299999999999999E-2</v>
      </c>
      <c r="M18" s="19">
        <v>3700</v>
      </c>
      <c r="N18" s="23">
        <f t="shared" si="4"/>
        <v>23.350020000000001</v>
      </c>
      <c r="O18" s="23">
        <f t="shared" si="5"/>
        <v>25.944500000000001</v>
      </c>
      <c r="P18" s="23">
        <f t="shared" si="6"/>
        <v>21.079879999999999</v>
      </c>
      <c r="Q18" s="23">
        <f t="shared" si="7"/>
        <v>14.59381</v>
      </c>
      <c r="R18" s="23">
        <f t="shared" si="8"/>
        <v>11.83719</v>
      </c>
      <c r="S18" s="23">
        <f t="shared" si="9"/>
        <v>8.7562999999999995</v>
      </c>
      <c r="T18" s="23">
        <f t="shared" si="10"/>
        <v>6.4861399999999998</v>
      </c>
      <c r="U18" s="23">
        <f t="shared" si="11"/>
        <v>4.8646200000000004</v>
      </c>
      <c r="V18" s="23">
        <f t="shared" si="12"/>
        <v>3.72953</v>
      </c>
      <c r="W18" s="19">
        <v>4000</v>
      </c>
      <c r="X18" s="19">
        <v>2200</v>
      </c>
      <c r="Y18" s="19">
        <v>87400</v>
      </c>
      <c r="Z18" s="19">
        <v>276900</v>
      </c>
      <c r="AA18" s="26"/>
      <c r="AB18" s="25"/>
      <c r="AC18" s="25"/>
    </row>
    <row r="19" spans="1:29" ht="22.5" customHeight="1" x14ac:dyDescent="0.25">
      <c r="A19" s="17">
        <v>2030</v>
      </c>
      <c r="B19" s="18">
        <v>1</v>
      </c>
      <c r="C19" s="22">
        <f t="shared" si="13"/>
        <v>956.7</v>
      </c>
      <c r="D19" s="22">
        <f t="shared" si="2"/>
        <v>518.44000000000005</v>
      </c>
      <c r="E19" s="22">
        <f t="shared" si="3"/>
        <v>1797.76</v>
      </c>
      <c r="F19" s="22">
        <f t="shared" si="0"/>
        <v>956.7</v>
      </c>
      <c r="G19" s="19">
        <v>7070</v>
      </c>
      <c r="H19" s="51">
        <v>6.8000000000000005E-2</v>
      </c>
      <c r="I19" s="51">
        <v>0.17</v>
      </c>
      <c r="J19" s="51">
        <v>1.9E-2</v>
      </c>
      <c r="K19" s="51">
        <v>4.0000000000000001E-3</v>
      </c>
      <c r="L19" s="51">
        <v>1.5299999999999999E-2</v>
      </c>
      <c r="M19" s="19">
        <v>3700</v>
      </c>
      <c r="N19" s="23">
        <f t="shared" si="4"/>
        <v>23.350020000000001</v>
      </c>
      <c r="O19" s="23">
        <f t="shared" si="5"/>
        <v>25.944500000000001</v>
      </c>
      <c r="P19" s="23">
        <f t="shared" si="6"/>
        <v>21.079879999999999</v>
      </c>
      <c r="Q19" s="23">
        <f t="shared" si="7"/>
        <v>14.59381</v>
      </c>
      <c r="R19" s="23">
        <f t="shared" si="8"/>
        <v>11.83719</v>
      </c>
      <c r="S19" s="23">
        <f t="shared" si="9"/>
        <v>8.7562999999999995</v>
      </c>
      <c r="T19" s="23">
        <f t="shared" si="10"/>
        <v>6.4861399999999998</v>
      </c>
      <c r="U19" s="23">
        <f t="shared" si="11"/>
        <v>4.8646200000000004</v>
      </c>
      <c r="V19" s="23">
        <f t="shared" si="12"/>
        <v>3.72953</v>
      </c>
      <c r="W19" s="19">
        <v>4000</v>
      </c>
      <c r="X19" s="19">
        <v>2200</v>
      </c>
      <c r="Y19" s="19">
        <v>87400</v>
      </c>
      <c r="Z19" s="19">
        <v>276900</v>
      </c>
      <c r="AA19" s="26"/>
      <c r="AB19" s="25"/>
      <c r="AC19" s="25"/>
    </row>
    <row r="20" spans="1:29" ht="22.5" customHeight="1" x14ac:dyDescent="0.25">
      <c r="A20" s="17">
        <v>2031</v>
      </c>
      <c r="B20" s="18">
        <v>1</v>
      </c>
      <c r="C20" s="22">
        <f t="shared" si="13"/>
        <v>956.7</v>
      </c>
      <c r="D20" s="22">
        <f t="shared" si="2"/>
        <v>518.44000000000005</v>
      </c>
      <c r="E20" s="22">
        <f t="shared" si="3"/>
        <v>1797.76</v>
      </c>
      <c r="F20" s="22">
        <f t="shared" si="0"/>
        <v>956.7</v>
      </c>
      <c r="G20" s="19">
        <v>7070</v>
      </c>
      <c r="H20" s="51">
        <v>6.8000000000000005E-2</v>
      </c>
      <c r="I20" s="51">
        <v>0.17</v>
      </c>
      <c r="J20" s="51">
        <v>1.9E-2</v>
      </c>
      <c r="K20" s="51">
        <v>4.0000000000000001E-3</v>
      </c>
      <c r="L20" s="51">
        <v>1.5299999999999999E-2</v>
      </c>
      <c r="M20" s="19">
        <v>3700</v>
      </c>
      <c r="N20" s="23">
        <f t="shared" si="4"/>
        <v>23.350020000000001</v>
      </c>
      <c r="O20" s="23">
        <f t="shared" si="5"/>
        <v>25.944500000000001</v>
      </c>
      <c r="P20" s="23">
        <f t="shared" si="6"/>
        <v>21.079879999999999</v>
      </c>
      <c r="Q20" s="23">
        <f t="shared" si="7"/>
        <v>14.59381</v>
      </c>
      <c r="R20" s="23">
        <f t="shared" si="8"/>
        <v>11.83719</v>
      </c>
      <c r="S20" s="23">
        <f t="shared" si="9"/>
        <v>8.7562999999999995</v>
      </c>
      <c r="T20" s="23">
        <f t="shared" si="10"/>
        <v>6.4861399999999998</v>
      </c>
      <c r="U20" s="23">
        <f t="shared" si="11"/>
        <v>4.8646200000000004</v>
      </c>
      <c r="V20" s="23">
        <f t="shared" si="12"/>
        <v>3.72953</v>
      </c>
      <c r="W20" s="19">
        <v>4000</v>
      </c>
      <c r="X20" s="19">
        <v>2200</v>
      </c>
      <c r="Y20" s="19">
        <v>87400</v>
      </c>
      <c r="Z20" s="19">
        <v>276900</v>
      </c>
      <c r="AA20" s="26"/>
      <c r="AB20" s="25"/>
      <c r="AC20" s="25"/>
    </row>
    <row r="21" spans="1:29" ht="22.5" customHeight="1" x14ac:dyDescent="0.25">
      <c r="A21" s="17">
        <v>2032</v>
      </c>
      <c r="B21" s="18">
        <v>1</v>
      </c>
      <c r="C21" s="22">
        <f t="shared" si="13"/>
        <v>956.7</v>
      </c>
      <c r="D21" s="22">
        <f t="shared" si="2"/>
        <v>518.44000000000005</v>
      </c>
      <c r="E21" s="22">
        <f t="shared" si="3"/>
        <v>1797.76</v>
      </c>
      <c r="F21" s="22">
        <f t="shared" si="0"/>
        <v>956.7</v>
      </c>
      <c r="G21" s="19">
        <v>7070</v>
      </c>
      <c r="H21" s="51">
        <v>6.8000000000000005E-2</v>
      </c>
      <c r="I21" s="51">
        <v>0.17</v>
      </c>
      <c r="J21" s="51">
        <v>1.9E-2</v>
      </c>
      <c r="K21" s="51">
        <v>4.0000000000000001E-3</v>
      </c>
      <c r="L21" s="51">
        <v>1.5299999999999999E-2</v>
      </c>
      <c r="M21" s="19">
        <v>3700</v>
      </c>
      <c r="N21" s="23">
        <f t="shared" si="4"/>
        <v>23.350020000000001</v>
      </c>
      <c r="O21" s="23">
        <f t="shared" si="5"/>
        <v>25.944500000000001</v>
      </c>
      <c r="P21" s="23">
        <f t="shared" si="6"/>
        <v>21.079879999999999</v>
      </c>
      <c r="Q21" s="23">
        <f t="shared" si="7"/>
        <v>14.59381</v>
      </c>
      <c r="R21" s="23">
        <f t="shared" si="8"/>
        <v>11.83719</v>
      </c>
      <c r="S21" s="23">
        <f t="shared" si="9"/>
        <v>8.7562999999999995</v>
      </c>
      <c r="T21" s="23">
        <f t="shared" si="10"/>
        <v>6.4861399999999998</v>
      </c>
      <c r="U21" s="23">
        <f t="shared" si="11"/>
        <v>4.8646200000000004</v>
      </c>
      <c r="V21" s="23">
        <f t="shared" si="12"/>
        <v>3.72953</v>
      </c>
      <c r="W21" s="19">
        <v>4000</v>
      </c>
      <c r="X21" s="19">
        <v>2200</v>
      </c>
      <c r="Y21" s="19">
        <v>87400</v>
      </c>
      <c r="Z21" s="19">
        <v>276900</v>
      </c>
      <c r="AA21" s="26"/>
      <c r="AB21" s="25"/>
      <c r="AC21" s="25"/>
    </row>
    <row r="22" spans="1:29" s="4" customFormat="1" x14ac:dyDescent="0.25">
      <c r="A22" s="27">
        <v>1</v>
      </c>
      <c r="B22" s="27">
        <v>2</v>
      </c>
      <c r="C22" s="27">
        <v>3</v>
      </c>
      <c r="D22" s="27">
        <v>4</v>
      </c>
      <c r="E22" s="27">
        <v>5</v>
      </c>
      <c r="F22" s="27">
        <v>6</v>
      </c>
      <c r="G22" s="27">
        <v>7</v>
      </c>
      <c r="H22" s="27">
        <v>8</v>
      </c>
      <c r="I22" s="27">
        <v>9</v>
      </c>
      <c r="J22" s="27">
        <v>10</v>
      </c>
      <c r="K22" s="27">
        <v>11</v>
      </c>
      <c r="L22" s="27">
        <v>12</v>
      </c>
      <c r="M22" s="27">
        <v>13</v>
      </c>
      <c r="N22" s="27">
        <v>14</v>
      </c>
      <c r="O22" s="27">
        <v>15</v>
      </c>
      <c r="P22" s="27">
        <v>16</v>
      </c>
      <c r="Q22" s="27">
        <v>17</v>
      </c>
      <c r="R22" s="27">
        <v>18</v>
      </c>
      <c r="S22" s="27">
        <v>19</v>
      </c>
      <c r="T22" s="27">
        <v>20</v>
      </c>
      <c r="U22" s="27">
        <v>21</v>
      </c>
      <c r="V22" s="27">
        <v>22</v>
      </c>
      <c r="W22" s="27">
        <v>23</v>
      </c>
      <c r="X22" s="27">
        <v>24</v>
      </c>
      <c r="Y22" s="7">
        <v>25</v>
      </c>
      <c r="Z22" s="7">
        <v>26</v>
      </c>
      <c r="AA22" s="27">
        <v>27</v>
      </c>
      <c r="AB22" s="27">
        <v>28</v>
      </c>
      <c r="AC22" s="27">
        <v>29</v>
      </c>
    </row>
    <row r="23" spans="1:29" x14ac:dyDescent="0.25">
      <c r="A23" s="28"/>
      <c r="C23" s="6"/>
      <c r="D23" s="6"/>
      <c r="E23" s="6"/>
    </row>
  </sheetData>
  <mergeCells count="7">
    <mergeCell ref="N2:V2"/>
    <mergeCell ref="D1:D2"/>
    <mergeCell ref="H1:K1"/>
    <mergeCell ref="A1:A2"/>
    <mergeCell ref="B1:B2"/>
    <mergeCell ref="C1:C2"/>
    <mergeCell ref="G1:G2"/>
  </mergeCells>
  <phoneticPr fontId="6"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14</vt:i4>
      </vt:variant>
    </vt:vector>
  </HeadingPairs>
  <TitlesOfParts>
    <vt:vector size="39" baseType="lpstr">
      <vt:lpstr>Info &amp; Navigation</vt:lpstr>
      <vt:lpstr>Internetfenster 1</vt:lpstr>
      <vt:lpstr>Internetfenster 2</vt:lpstr>
      <vt:lpstr>Pacht</vt:lpstr>
      <vt:lpstr>Beiträge aus EHW</vt:lpstr>
      <vt:lpstr>EHW</vt:lpstr>
      <vt:lpstr>EHW-Änderungen</vt:lpstr>
      <vt:lpstr>Öffentliche Gelder</vt:lpstr>
      <vt:lpstr>Beiträge NT</vt:lpstr>
      <vt:lpstr>Mindest-BTG</vt:lpstr>
      <vt:lpstr>Höchst-BTG</vt:lpstr>
      <vt:lpstr>Kleine Option</vt:lpstr>
      <vt:lpstr>BTG-Option</vt:lpstr>
      <vt:lpstr>BTG und Beitragssatz</vt:lpstr>
      <vt:lpstr>Betriebsbeitrag</vt:lpstr>
      <vt:lpstr>Angehörige</vt:lpstr>
      <vt:lpstr>                               </vt:lpstr>
      <vt:lpstr>Bedienungsanleitungen</vt:lpstr>
      <vt:lpstr>Info Texte</vt:lpstr>
      <vt:lpstr>Beitragsberechnung</vt:lpstr>
      <vt:lpstr>Verknüpfungen 1</vt:lpstr>
      <vt:lpstr>Verknüpfungen 2</vt:lpstr>
      <vt:lpstr>Berechnung 1</vt:lpstr>
      <vt:lpstr>Berechnung 2</vt:lpstr>
      <vt:lpstr>Wertedatenbank</vt:lpstr>
      <vt:lpstr>Angehörige!Druckbereich</vt:lpstr>
      <vt:lpstr>'Beiträge aus EHW'!Druckbereich</vt:lpstr>
      <vt:lpstr>'Beiträge NT'!Druckbereich</vt:lpstr>
      <vt:lpstr>Betriebsbeitrag!Druckbereich</vt:lpstr>
      <vt:lpstr>'BTG und Beitragssatz'!Druckbereich</vt:lpstr>
      <vt:lpstr>'BTG-Option'!Druckbereich</vt:lpstr>
      <vt:lpstr>EHW!Druckbereich</vt:lpstr>
      <vt:lpstr>'EHW-Änderungen'!Druckbereich</vt:lpstr>
      <vt:lpstr>'Höchst-BTG'!Druckbereich</vt:lpstr>
      <vt:lpstr>'Internetfenster 1'!Druckbereich</vt:lpstr>
      <vt:lpstr>'Internetfenster 2'!Druckbereich</vt:lpstr>
      <vt:lpstr>'Kleine Option'!Druckbereich</vt:lpstr>
      <vt:lpstr>'Mindest-BTG'!Druckbereich</vt:lpstr>
      <vt:lpstr>Pacht!Druckbereich</vt:lpstr>
    </vt:vector>
  </TitlesOfParts>
  <Company>svb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Tschuffer Paul</dc:creator>
  <cp:lastModifiedBy>Heimberger Herbert</cp:lastModifiedBy>
  <cp:lastPrinted>2018-03-07T05:55:52Z</cp:lastPrinted>
  <dcterms:created xsi:type="dcterms:W3CDTF">2015-01-21T05:52:29Z</dcterms:created>
  <dcterms:modified xsi:type="dcterms:W3CDTF">2024-01-05T07:33:05Z</dcterms:modified>
</cp:coreProperties>
</file>